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년 도로시설팀\2. 교통안전시설물\교통안전시설물 연간단가\"/>
    </mc:Choice>
  </mc:AlternateContent>
  <bookViews>
    <workbookView xWindow="105" yWindow="105" windowWidth="10005" windowHeight="7005"/>
  </bookViews>
  <sheets>
    <sheet name="내역서총괄표" sheetId="4" r:id="rId1"/>
    <sheet name="내역서" sheetId="5" r:id="rId2"/>
    <sheet name="수량산출" sheetId="24" state="hidden" r:id="rId3"/>
    <sheet name="Sheet1" sheetId="23" state="hidden" r:id="rId4"/>
  </sheets>
  <externalReferences>
    <externalReference r:id="rId5"/>
  </externalReferences>
  <definedNames>
    <definedName name="_xlnm.Print_Area" localSheetId="1">내역서!$B$2:$O$122</definedName>
    <definedName name="_xlnm.Print_Area" localSheetId="0">내역서총괄표!$B$1:$K$53</definedName>
    <definedName name="_xlnm.Print_Area" localSheetId="2">수량산출!$A$1:$CL$705</definedName>
    <definedName name="_xlnm.Print_Titles" localSheetId="1">내역서!$1:$4</definedName>
    <definedName name="_xlnm.Print_Titles" localSheetId="0">내역서총괄표!$1:$3</definedName>
  </definedNames>
  <calcPr calcId="152511"/>
</workbook>
</file>

<file path=xl/calcChain.xml><?xml version="1.0" encoding="utf-8"?>
<calcChain xmlns="http://schemas.openxmlformats.org/spreadsheetml/2006/main">
  <c r="CH4" i="24" l="1"/>
  <c r="CI4" i="24"/>
  <c r="W7" i="24"/>
  <c r="AD7" i="24"/>
  <c r="AC23" i="24" s="1"/>
  <c r="AJ7" i="24"/>
  <c r="BH7" i="24"/>
  <c r="AZ9" i="24"/>
  <c r="BH9" i="24"/>
  <c r="O11" i="24"/>
  <c r="AN20" i="24" s="1"/>
  <c r="V11" i="24"/>
  <c r="X11" i="24"/>
  <c r="BH11" i="24"/>
  <c r="BN13" i="24"/>
  <c r="BT13" i="24"/>
  <c r="BY13" i="24"/>
  <c r="X14" i="24"/>
  <c r="AD14" i="24"/>
  <c r="M23" i="24" s="1"/>
  <c r="AJ14" i="24"/>
  <c r="BS16" i="24"/>
  <c r="H20" i="24"/>
  <c r="M20" i="24"/>
  <c r="R20" i="24"/>
  <c r="X20" i="24"/>
  <c r="AC20" i="24"/>
  <c r="AH20" i="24"/>
  <c r="AT20" i="24"/>
  <c r="AT23" i="24"/>
  <c r="K73" i="24"/>
  <c r="BK76" i="24" s="1"/>
  <c r="X73" i="24"/>
  <c r="AF73" i="24"/>
  <c r="L75" i="24"/>
  <c r="AI75" i="24" s="1"/>
  <c r="AP75" i="24"/>
  <c r="AU75" i="24"/>
  <c r="AZ75" i="24"/>
  <c r="BE75" i="24"/>
  <c r="AT77" i="24"/>
  <c r="P79" i="24"/>
  <c r="AI79" i="24" s="1"/>
  <c r="CI79" i="24" s="1"/>
  <c r="AB79" i="24"/>
  <c r="P80" i="24"/>
  <c r="AI80" i="24" s="1"/>
  <c r="AB80" i="24"/>
  <c r="CJ80" i="24"/>
  <c r="P81" i="24"/>
  <c r="AI81" i="24" s="1"/>
  <c r="AB81" i="24"/>
  <c r="CK81" i="24"/>
  <c r="P82" i="24"/>
  <c r="K86" i="24"/>
  <c r="U86" i="24"/>
  <c r="Y86" i="24"/>
  <c r="AD86" i="24"/>
  <c r="AM86" i="24"/>
  <c r="K87" i="24"/>
  <c r="BE89" i="24" s="1"/>
  <c r="X87" i="24"/>
  <c r="AF87" i="24"/>
  <c r="L89" i="24"/>
  <c r="AI89" i="24"/>
  <c r="AP89" i="24"/>
  <c r="AU89" i="24"/>
  <c r="AT91" i="24"/>
  <c r="P93" i="24"/>
  <c r="P94" i="24"/>
  <c r="P95" i="24"/>
  <c r="AC99" i="24"/>
  <c r="P102" i="24"/>
  <c r="Z102" i="24"/>
  <c r="AI102" i="24"/>
  <c r="AP102" i="24"/>
  <c r="AX102" i="24"/>
  <c r="K111" i="24"/>
  <c r="U111" i="24"/>
  <c r="Y111" i="24"/>
  <c r="AD111" i="24"/>
  <c r="AM111" i="24"/>
  <c r="AU114" i="24" s="1"/>
  <c r="K112" i="24"/>
  <c r="X112" i="24"/>
  <c r="AF112" i="24"/>
  <c r="L114" i="24"/>
  <c r="AI114" i="24" s="1"/>
  <c r="AZ114" i="24"/>
  <c r="BE114" i="24"/>
  <c r="AT116" i="24"/>
  <c r="P118" i="24"/>
  <c r="P119" i="24"/>
  <c r="P120" i="24"/>
  <c r="K125" i="24"/>
  <c r="AP128" i="24" s="1"/>
  <c r="U125" i="24"/>
  <c r="Y125" i="24"/>
  <c r="AM125" i="24"/>
  <c r="AU128" i="24" s="1"/>
  <c r="K126" i="24"/>
  <c r="BE128" i="24" s="1"/>
  <c r="X126" i="24"/>
  <c r="AT130" i="24" s="1"/>
  <c r="AF126" i="24"/>
  <c r="L128" i="24"/>
  <c r="AI128" i="24"/>
  <c r="P132" i="24"/>
  <c r="P133" i="24"/>
  <c r="P134" i="24"/>
  <c r="K139" i="24"/>
  <c r="U139" i="24"/>
  <c r="Y139" i="24"/>
  <c r="AD139" i="24"/>
  <c r="AM139" i="24"/>
  <c r="AU142" i="24" s="1"/>
  <c r="K140" i="24"/>
  <c r="X140" i="24"/>
  <c r="AF140" i="24"/>
  <c r="L142" i="24"/>
  <c r="AI142" i="24" s="1"/>
  <c r="AP142" i="24"/>
  <c r="AZ142" i="24"/>
  <c r="BE142" i="24"/>
  <c r="BK143" i="24"/>
  <c r="AT144" i="24"/>
  <c r="P146" i="24"/>
  <c r="AI146" i="24" s="1"/>
  <c r="CI146" i="24" s="1"/>
  <c r="P147" i="24"/>
  <c r="P148" i="24"/>
  <c r="AI148" i="24" s="1"/>
  <c r="CK148" i="24" s="1"/>
  <c r="CK137" i="24" s="1"/>
  <c r="P153" i="24"/>
  <c r="AA153" i="24"/>
  <c r="P154" i="24"/>
  <c r="AA154" i="24"/>
  <c r="AH154" i="24"/>
  <c r="W156" i="24" s="1"/>
  <c r="X155" i="24"/>
  <c r="AF156" i="24"/>
  <c r="M160" i="24"/>
  <c r="AC160" i="24" s="1"/>
  <c r="CK160" i="24" s="1"/>
  <c r="U160" i="24"/>
  <c r="N162" i="24"/>
  <c r="AE162" i="24" s="1"/>
  <c r="CI162" i="24" s="1"/>
  <c r="V162" i="24"/>
  <c r="N163" i="24"/>
  <c r="AE163" i="24" s="1"/>
  <c r="V163" i="24"/>
  <c r="N164" i="24"/>
  <c r="AE164" i="24" s="1"/>
  <c r="V164" i="24"/>
  <c r="AG166" i="24"/>
  <c r="K173" i="24"/>
  <c r="N174" i="24"/>
  <c r="N175" i="24"/>
  <c r="N176" i="24"/>
  <c r="P179" i="24"/>
  <c r="Z179" i="24"/>
  <c r="AH179" i="24"/>
  <c r="AP179" i="24"/>
  <c r="AZ179" i="24"/>
  <c r="H182" i="24"/>
  <c r="T182" i="24"/>
  <c r="AI182" i="24"/>
  <c r="AG184" i="24"/>
  <c r="Y186" i="24"/>
  <c r="K191" i="24"/>
  <c r="N192" i="24"/>
  <c r="X192" i="24"/>
  <c r="N193" i="24"/>
  <c r="X193" i="24"/>
  <c r="N194" i="24"/>
  <c r="X194" i="24"/>
  <c r="P197" i="24"/>
  <c r="Z197" i="24"/>
  <c r="AH197" i="24"/>
  <c r="AP197" i="24"/>
  <c r="AZ197" i="24"/>
  <c r="Y202" i="24" s="1"/>
  <c r="H200" i="24"/>
  <c r="T200" i="24"/>
  <c r="AI200" i="24"/>
  <c r="AG202" i="24"/>
  <c r="Y204" i="24"/>
  <c r="L209" i="24"/>
  <c r="Q209" i="24"/>
  <c r="X209" i="24"/>
  <c r="AD209" i="24"/>
  <c r="AP215" i="24" s="1"/>
  <c r="N210" i="24"/>
  <c r="N211" i="24"/>
  <c r="N212" i="24"/>
  <c r="P215" i="24"/>
  <c r="Z215" i="24"/>
  <c r="AH215" i="24"/>
  <c r="H218" i="24"/>
  <c r="T218" i="24"/>
  <c r="AG220" i="24"/>
  <c r="Y222" i="24"/>
  <c r="P227" i="24"/>
  <c r="AA227" i="24"/>
  <c r="P228" i="24"/>
  <c r="AH228" i="24" s="1"/>
  <c r="AA228" i="24"/>
  <c r="X229" i="24"/>
  <c r="AF230" i="24"/>
  <c r="M234" i="24"/>
  <c r="AD234" i="24" s="1"/>
  <c r="U234" i="24"/>
  <c r="N236" i="24"/>
  <c r="AE236" i="24" s="1"/>
  <c r="V236" i="24"/>
  <c r="N237" i="24"/>
  <c r="AE237" i="24" s="1"/>
  <c r="V237" i="24"/>
  <c r="N238" i="24"/>
  <c r="AE238" i="24" s="1"/>
  <c r="V238" i="24"/>
  <c r="K247" i="24"/>
  <c r="N248" i="24"/>
  <c r="N249" i="24"/>
  <c r="N250" i="24"/>
  <c r="P253" i="24"/>
  <c r="Z253" i="24"/>
  <c r="AH253" i="24"/>
  <c r="H256" i="24"/>
  <c r="T256" i="24"/>
  <c r="AG258" i="24"/>
  <c r="Y260" i="24"/>
  <c r="K265" i="24"/>
  <c r="N266" i="24"/>
  <c r="N267" i="24"/>
  <c r="N268" i="24"/>
  <c r="P271" i="24"/>
  <c r="Z271" i="24"/>
  <c r="AH271" i="24"/>
  <c r="H274" i="24"/>
  <c r="T274" i="24"/>
  <c r="AG276" i="24"/>
  <c r="Y278" i="24"/>
  <c r="L283" i="24"/>
  <c r="Q283" i="24"/>
  <c r="X283" i="24"/>
  <c r="N284" i="24"/>
  <c r="N285" i="24"/>
  <c r="N286" i="24"/>
  <c r="P289" i="24"/>
  <c r="Z289" i="24"/>
  <c r="AH289" i="24"/>
  <c r="H292" i="24"/>
  <c r="T292" i="24"/>
  <c r="AG294" i="24"/>
  <c r="Y296" i="24"/>
  <c r="K301" i="24"/>
  <c r="AP307" i="24" s="1"/>
  <c r="N302" i="24"/>
  <c r="N303" i="24"/>
  <c r="N304" i="24"/>
  <c r="P307" i="24"/>
  <c r="Z307" i="24"/>
  <c r="AH307" i="24"/>
  <c r="H310" i="24"/>
  <c r="T310" i="24"/>
  <c r="AG312" i="24"/>
  <c r="Y314" i="24"/>
  <c r="K319" i="24"/>
  <c r="AP325" i="24" s="1"/>
  <c r="N320" i="24"/>
  <c r="N321" i="24"/>
  <c r="N322" i="24"/>
  <c r="P325" i="24"/>
  <c r="Z325" i="24"/>
  <c r="AH325" i="24"/>
  <c r="H328" i="24"/>
  <c r="T328" i="24"/>
  <c r="AG330" i="24"/>
  <c r="Y332" i="24"/>
  <c r="J337" i="24"/>
  <c r="N338" i="24"/>
  <c r="X338" i="24"/>
  <c r="N339" i="24"/>
  <c r="AD339" i="24" s="1"/>
  <c r="X339" i="24"/>
  <c r="N340" i="24"/>
  <c r="X340" i="24"/>
  <c r="P343" i="24"/>
  <c r="Z343" i="24"/>
  <c r="AH343" i="24"/>
  <c r="AP343" i="24"/>
  <c r="AZ343" i="24"/>
  <c r="Y348" i="24" s="1"/>
  <c r="H346" i="24"/>
  <c r="T346" i="24"/>
  <c r="AI346" i="24"/>
  <c r="AG348" i="24"/>
  <c r="Y350" i="24"/>
  <c r="P355" i="24"/>
  <c r="AA355" i="24"/>
  <c r="AH355" i="24"/>
  <c r="AS355" i="24"/>
  <c r="P356" i="24"/>
  <c r="AA356" i="24"/>
  <c r="AH356" i="24"/>
  <c r="N360" i="24"/>
  <c r="AQ360" i="24" s="1"/>
  <c r="CI360" i="24" s="1"/>
  <c r="V360" i="24"/>
  <c r="AG360" i="24"/>
  <c r="N361" i="24"/>
  <c r="AQ361" i="24" s="1"/>
  <c r="V361" i="24"/>
  <c r="AG361" i="24"/>
  <c r="N362" i="24"/>
  <c r="V362" i="24"/>
  <c r="AG362" i="24"/>
  <c r="AQ362" i="24"/>
  <c r="CK362" i="24" s="1"/>
  <c r="O364" i="24"/>
  <c r="X364" i="24"/>
  <c r="AE364" i="24"/>
  <c r="N367" i="24"/>
  <c r="V367" i="24"/>
  <c r="AG367" i="24"/>
  <c r="AR367" i="24"/>
  <c r="BA367" i="24"/>
  <c r="CI367" i="24" s="1"/>
  <c r="N368" i="24"/>
  <c r="V368" i="24"/>
  <c r="AG368" i="24"/>
  <c r="AR368" i="24"/>
  <c r="N369" i="24"/>
  <c r="V369" i="24"/>
  <c r="BA369" i="24" s="1"/>
  <c r="AG369" i="24"/>
  <c r="AR369" i="24"/>
  <c r="P378" i="24"/>
  <c r="AA378" i="24"/>
  <c r="AH378" i="24"/>
  <c r="P379" i="24"/>
  <c r="AS379" i="24" s="1"/>
  <c r="AA379" i="24"/>
  <c r="AH379" i="24"/>
  <c r="N383" i="24"/>
  <c r="V383" i="24"/>
  <c r="AG383" i="24"/>
  <c r="AQ383" i="24" s="1"/>
  <c r="N384" i="24"/>
  <c r="V384" i="24"/>
  <c r="AQ384" i="24" s="1"/>
  <c r="CJ384" i="24" s="1"/>
  <c r="AG384" i="24"/>
  <c r="N385" i="24"/>
  <c r="V385" i="24"/>
  <c r="AG385" i="24"/>
  <c r="O387" i="24"/>
  <c r="X387" i="24"/>
  <c r="AE387" i="24"/>
  <c r="N390" i="24"/>
  <c r="V390" i="24"/>
  <c r="AG390" i="24"/>
  <c r="AQ390" i="24"/>
  <c r="CI390" i="24" s="1"/>
  <c r="AZ390" i="24"/>
  <c r="AN394" i="24" s="1"/>
  <c r="N391" i="24"/>
  <c r="V391" i="24"/>
  <c r="AG391" i="24"/>
  <c r="AQ391" i="24"/>
  <c r="CJ391" i="24"/>
  <c r="N392" i="24"/>
  <c r="V392" i="24"/>
  <c r="AG392" i="24"/>
  <c r="AQ392" i="24"/>
  <c r="CK392" i="24" s="1"/>
  <c r="AZ392" i="24"/>
  <c r="Y396" i="24" s="1"/>
  <c r="K401" i="24"/>
  <c r="U401" i="24"/>
  <c r="Y401" i="24"/>
  <c r="AD401" i="24"/>
  <c r="AM401" i="24"/>
  <c r="AU404" i="24" s="1"/>
  <c r="K402" i="24"/>
  <c r="X402" i="24"/>
  <c r="AF402" i="24"/>
  <c r="L404" i="24"/>
  <c r="AI404" i="24" s="1"/>
  <c r="AZ404" i="24"/>
  <c r="BE404" i="24"/>
  <c r="AT406" i="24"/>
  <c r="P408" i="24"/>
  <c r="P409" i="24"/>
  <c r="P410" i="24"/>
  <c r="K415" i="24"/>
  <c r="U415" i="24"/>
  <c r="Y415" i="24"/>
  <c r="AD415" i="24"/>
  <c r="AZ418" i="24" s="1"/>
  <c r="AM415" i="24"/>
  <c r="K416" i="24"/>
  <c r="X416" i="24"/>
  <c r="AF416" i="24"/>
  <c r="L418" i="24"/>
  <c r="AI418" i="24"/>
  <c r="AP418" i="24"/>
  <c r="AU418" i="24"/>
  <c r="BE418" i="24"/>
  <c r="AT420" i="24"/>
  <c r="P422" i="24"/>
  <c r="P423" i="24"/>
  <c r="P424" i="24"/>
  <c r="K429" i="24"/>
  <c r="U429" i="24"/>
  <c r="AD429" i="24" s="1"/>
  <c r="AZ432" i="24" s="1"/>
  <c r="Y429" i="24"/>
  <c r="AM429" i="24"/>
  <c r="AU432" i="24" s="1"/>
  <c r="K430" i="24"/>
  <c r="X430" i="24"/>
  <c r="AF430" i="24"/>
  <c r="L432" i="24"/>
  <c r="AI432" i="24"/>
  <c r="BE432" i="24"/>
  <c r="AT434" i="24"/>
  <c r="P436" i="24"/>
  <c r="P437" i="24"/>
  <c r="P438" i="24"/>
  <c r="H444" i="24"/>
  <c r="S444" i="24"/>
  <c r="AH444" i="24"/>
  <c r="AV444" i="24" s="1"/>
  <c r="CJ444" i="24" s="1"/>
  <c r="H446" i="24"/>
  <c r="Q446" i="24"/>
  <c r="AT446" i="24" s="1"/>
  <c r="AF446" i="24"/>
  <c r="P449" i="24"/>
  <c r="Z449" i="24"/>
  <c r="AJ449" i="24"/>
  <c r="P450" i="24"/>
  <c r="Z450" i="24"/>
  <c r="AJ450" i="24"/>
  <c r="AF452" i="24"/>
  <c r="P455" i="24"/>
  <c r="AX455" i="24" s="1"/>
  <c r="Z455" i="24"/>
  <c r="AJ455" i="24"/>
  <c r="P456" i="24"/>
  <c r="AX456" i="24" s="1"/>
  <c r="AL458" i="24" s="1"/>
  <c r="Z456" i="24"/>
  <c r="AJ456" i="24"/>
  <c r="AL459" i="24"/>
  <c r="AR460" i="24"/>
  <c r="H466" i="24"/>
  <c r="O466" i="24"/>
  <c r="U466" i="24"/>
  <c r="AC466" i="24"/>
  <c r="AM466" i="24"/>
  <c r="AU466" i="24" s="1"/>
  <c r="H468" i="24" s="1"/>
  <c r="X468" i="24" s="1"/>
  <c r="H469" i="24" s="1"/>
  <c r="Q468" i="24"/>
  <c r="S469" i="24"/>
  <c r="K472" i="24"/>
  <c r="X472" i="24"/>
  <c r="AF472" i="24"/>
  <c r="N473" i="24"/>
  <c r="AH473" i="24"/>
  <c r="N474" i="24"/>
  <c r="AH474" i="24"/>
  <c r="N475" i="24"/>
  <c r="AH475" i="24"/>
  <c r="P478" i="24"/>
  <c r="Z478" i="24"/>
  <c r="AI478" i="24"/>
  <c r="P479" i="24"/>
  <c r="Z479" i="24"/>
  <c r="AI479" i="24"/>
  <c r="N482" i="24"/>
  <c r="AJ482" i="24"/>
  <c r="N483" i="24"/>
  <c r="AJ483" i="24"/>
  <c r="N484" i="24"/>
  <c r="AJ484" i="24"/>
  <c r="AX486" i="24"/>
  <c r="AX487" i="24"/>
  <c r="AX488" i="24"/>
  <c r="K493" i="24"/>
  <c r="K494" i="24"/>
  <c r="M496" i="24"/>
  <c r="AM496" i="24" s="1"/>
  <c r="AT496" i="24"/>
  <c r="BA496" i="24"/>
  <c r="BK497" i="24"/>
  <c r="AB502" i="24" s="1"/>
  <c r="R498" i="24"/>
  <c r="AT498" i="24" s="1"/>
  <c r="P500" i="24"/>
  <c r="AI500" i="24" s="1"/>
  <c r="P501" i="24"/>
  <c r="P502" i="24"/>
  <c r="K507" i="24"/>
  <c r="K508" i="24"/>
  <c r="M510" i="24"/>
  <c r="AM510" i="24"/>
  <c r="AT510" i="24"/>
  <c r="BA510" i="24"/>
  <c r="R512" i="24"/>
  <c r="AT512" i="24" s="1"/>
  <c r="P514" i="24"/>
  <c r="P515" i="24"/>
  <c r="P516" i="24"/>
  <c r="AG522" i="24"/>
  <c r="BK522" i="24" s="1"/>
  <c r="AP522" i="24"/>
  <c r="AX522" i="24"/>
  <c r="Q523" i="24"/>
  <c r="AG523" i="24"/>
  <c r="AP523" i="24"/>
  <c r="AX523" i="24"/>
  <c r="BK523" i="24"/>
  <c r="CJ523" i="24" s="1"/>
  <c r="Q524" i="24"/>
  <c r="AG524" i="24"/>
  <c r="BK524" i="24" s="1"/>
  <c r="AP524" i="24"/>
  <c r="AX524" i="24"/>
  <c r="T527" i="24"/>
  <c r="AP527" i="24" s="1"/>
  <c r="AG527" i="24"/>
  <c r="T528" i="24"/>
  <c r="AP528" i="24" s="1"/>
  <c r="AG528" i="24"/>
  <c r="AG539" i="24"/>
  <c r="AP539" i="24"/>
  <c r="BK539" i="24" s="1"/>
  <c r="AX539" i="24"/>
  <c r="Q540" i="24"/>
  <c r="AG540" i="24"/>
  <c r="BK540" i="24" s="1"/>
  <c r="AP540" i="24"/>
  <c r="T543" i="24"/>
  <c r="AP543" i="24" s="1"/>
  <c r="AG543" i="24"/>
  <c r="P554" i="24"/>
  <c r="AL554" i="24" s="1"/>
  <c r="Z554" i="24"/>
  <c r="P555" i="24"/>
  <c r="AL555" i="24" s="1"/>
  <c r="Z555" i="24"/>
  <c r="AG557" i="24"/>
  <c r="P568" i="24"/>
  <c r="AI568" i="24" s="1"/>
  <c r="CJ568" i="24" s="1"/>
  <c r="Y568" i="24"/>
  <c r="P569" i="24"/>
  <c r="AI569" i="24" s="1"/>
  <c r="Y569" i="24"/>
  <c r="AG571" i="24"/>
  <c r="P573" i="24"/>
  <c r="AI573" i="24" s="1"/>
  <c r="Z573" i="24"/>
  <c r="P574" i="24"/>
  <c r="AI574" i="24" s="1"/>
  <c r="Z574" i="24"/>
  <c r="AG576" i="24"/>
  <c r="P587" i="24"/>
  <c r="AI587" i="24" s="1"/>
  <c r="Z587" i="24"/>
  <c r="P588" i="24"/>
  <c r="AI588" i="24" s="1"/>
  <c r="CI588" i="24" s="1"/>
  <c r="Z588" i="24"/>
  <c r="AG590" i="24"/>
  <c r="AG593" i="24"/>
  <c r="Y595" i="24"/>
  <c r="P606" i="24"/>
  <c r="AI606" i="24" s="1"/>
  <c r="CI606" i="24" s="1"/>
  <c r="Z606" i="24"/>
  <c r="P607" i="24"/>
  <c r="AI607" i="24" s="1"/>
  <c r="W609" i="24" s="1"/>
  <c r="Z607" i="24"/>
  <c r="CI607" i="24"/>
  <c r="AG609" i="24"/>
  <c r="AG612" i="24"/>
  <c r="Y614" i="24"/>
  <c r="Z617" i="24"/>
  <c r="Q624" i="24"/>
  <c r="AJ624" i="24" s="1"/>
  <c r="Z624" i="24"/>
  <c r="Q625" i="24"/>
  <c r="AJ625" i="24" s="1"/>
  <c r="CJ625" i="24" s="1"/>
  <c r="Z625" i="24"/>
  <c r="Q626" i="24"/>
  <c r="AJ626" i="24" s="1"/>
  <c r="Z626" i="24"/>
  <c r="P629" i="24"/>
  <c r="AI629" i="24" s="1"/>
  <c r="Z629" i="24"/>
  <c r="P630" i="24"/>
  <c r="AI630" i="24" s="1"/>
  <c r="Z630" i="24"/>
  <c r="P631" i="24"/>
  <c r="AI631" i="24" s="1"/>
  <c r="CI631" i="24" s="1"/>
  <c r="Z631" i="24"/>
  <c r="P632" i="24"/>
  <c r="AI632" i="24" s="1"/>
  <c r="Z632" i="24"/>
  <c r="P636" i="24"/>
  <c r="P637" i="24"/>
  <c r="P638" i="24"/>
  <c r="Z638" i="24"/>
  <c r="AI638" i="24"/>
  <c r="P640" i="24"/>
  <c r="AI640" i="24" s="1"/>
  <c r="Z640" i="24"/>
  <c r="Q650" i="24"/>
  <c r="Z650" i="24"/>
  <c r="AJ650" i="24" s="1"/>
  <c r="Q651" i="24"/>
  <c r="Z651" i="24"/>
  <c r="Q652" i="24"/>
  <c r="Z652" i="24"/>
  <c r="AJ652" i="24" s="1"/>
  <c r="CJ652" i="24" s="1"/>
  <c r="P655" i="24"/>
  <c r="Z655" i="24"/>
  <c r="P656" i="24"/>
  <c r="Z656" i="24"/>
  <c r="AI656" i="24" s="1"/>
  <c r="P657" i="24"/>
  <c r="Z657" i="24"/>
  <c r="P658" i="24"/>
  <c r="Z658" i="24"/>
  <c r="AI658" i="24" s="1"/>
  <c r="CI658" i="24" s="1"/>
  <c r="P659" i="24"/>
  <c r="Z659" i="24"/>
  <c r="P663" i="24"/>
  <c r="P664" i="24"/>
  <c r="P665" i="24"/>
  <c r="AI665" i="24" s="1"/>
  <c r="Q672" i="24" s="1"/>
  <c r="Z665" i="24"/>
  <c r="P667" i="24"/>
  <c r="AI667" i="24" s="1"/>
  <c r="CK667" i="24" s="1"/>
  <c r="Z667" i="24"/>
  <c r="K677" i="24"/>
  <c r="X677" i="24"/>
  <c r="AY684" i="24" s="1"/>
  <c r="AO677" i="24"/>
  <c r="K679" i="24"/>
  <c r="Y679" i="24"/>
  <c r="AK679" i="24"/>
  <c r="AO689" i="24" s="1"/>
  <c r="L681" i="24"/>
  <c r="AB687" i="24" s="1"/>
  <c r="Z681" i="24"/>
  <c r="AH683" i="24"/>
  <c r="AN683" i="24"/>
  <c r="Z684" i="24"/>
  <c r="AT684" i="24"/>
  <c r="AH685" i="24"/>
  <c r="AN685" i="24"/>
  <c r="AN687" i="24"/>
  <c r="L689" i="24"/>
  <c r="AC689" i="24"/>
  <c r="AG689" i="24"/>
  <c r="AL689" i="24"/>
  <c r="P693" i="24"/>
  <c r="P694" i="24"/>
  <c r="P695" i="24"/>
  <c r="CK698" i="24"/>
  <c r="Z701" i="24"/>
  <c r="AI701" i="24"/>
  <c r="Z702" i="24"/>
  <c r="AS702" i="24" s="1"/>
  <c r="AI702" i="24"/>
  <c r="AI703" i="24"/>
  <c r="P706" i="24"/>
  <c r="AI706" i="24" s="1"/>
  <c r="CI706" i="24" s="1"/>
  <c r="Z706" i="24"/>
  <c r="P707" i="24"/>
  <c r="Z707" i="24"/>
  <c r="Z711" i="24"/>
  <c r="AS711" i="24" s="1"/>
  <c r="AI711" i="24"/>
  <c r="Z712" i="24"/>
  <c r="AS712" i="24" s="1"/>
  <c r="AI712" i="24"/>
  <c r="AI713" i="24"/>
  <c r="P716" i="24"/>
  <c r="Z716" i="24"/>
  <c r="AI716" i="24" s="1"/>
  <c r="P717" i="24"/>
  <c r="AI717" i="24" s="1"/>
  <c r="Z717" i="24"/>
  <c r="CK723" i="24"/>
  <c r="CK725" i="24"/>
  <c r="Z728" i="24"/>
  <c r="AI728" i="24"/>
  <c r="Z729" i="24"/>
  <c r="AS729" i="24" s="1"/>
  <c r="X747" i="24" s="1"/>
  <c r="AI729" i="24"/>
  <c r="CJ729" i="24"/>
  <c r="P732" i="24"/>
  <c r="Z732" i="24"/>
  <c r="P733" i="24"/>
  <c r="AI733" i="24" s="1"/>
  <c r="X746" i="24" s="1"/>
  <c r="Z733" i="24"/>
  <c r="Z737" i="24"/>
  <c r="AI737" i="24"/>
  <c r="Z738" i="24"/>
  <c r="AS738" i="24" s="1"/>
  <c r="AK747" i="24" s="1"/>
  <c r="AI738" i="24"/>
  <c r="AI739" i="24"/>
  <c r="P742" i="24"/>
  <c r="AI742" i="24" s="1"/>
  <c r="AD746" i="24" s="1"/>
  <c r="Z742" i="24"/>
  <c r="P743" i="24"/>
  <c r="Z743" i="24"/>
  <c r="CK749" i="24"/>
  <c r="CK751" i="24"/>
  <c r="Z754" i="24"/>
  <c r="AI754" i="24"/>
  <c r="Z755" i="24"/>
  <c r="AS755" i="24" s="1"/>
  <c r="AI755" i="24"/>
  <c r="P758" i="24"/>
  <c r="Z758" i="24"/>
  <c r="P759" i="24"/>
  <c r="AI759" i="24" s="1"/>
  <c r="X772" i="24" s="1"/>
  <c r="Z759" i="24"/>
  <c r="Z763" i="24"/>
  <c r="AI763" i="24"/>
  <c r="Z764" i="24"/>
  <c r="AS764" i="24" s="1"/>
  <c r="AI764" i="24"/>
  <c r="AI765" i="24"/>
  <c r="P768" i="24"/>
  <c r="AI768" i="24" s="1"/>
  <c r="AD772" i="24" s="1"/>
  <c r="Z768" i="24"/>
  <c r="P769" i="24"/>
  <c r="Z769" i="24"/>
  <c r="CK775" i="24"/>
  <c r="U123" i="5"/>
  <c r="U124" i="5"/>
  <c r="U125" i="5" s="1"/>
  <c r="U128" i="5" s="1"/>
  <c r="C4" i="4"/>
  <c r="C6" i="4"/>
  <c r="C8" i="4"/>
  <c r="C10" i="4"/>
  <c r="CI587" i="24" l="1"/>
  <c r="Q598" i="24"/>
  <c r="CJ569" i="24"/>
  <c r="Z580" i="24"/>
  <c r="W593" i="24"/>
  <c r="CK640" i="24"/>
  <c r="X645" i="24"/>
  <c r="Y241" i="24"/>
  <c r="CJ237" i="24"/>
  <c r="P242" i="24"/>
  <c r="CK234" i="24"/>
  <c r="Y242" i="24"/>
  <c r="CK238" i="24"/>
  <c r="AG240" i="24"/>
  <c r="CI236" i="24"/>
  <c r="AH643" i="24"/>
  <c r="CI768" i="24"/>
  <c r="CI759" i="24"/>
  <c r="CK665" i="24"/>
  <c r="P459" i="24"/>
  <c r="P373" i="24"/>
  <c r="AV182" i="24"/>
  <c r="Y185" i="24" s="1"/>
  <c r="X672" i="24"/>
  <c r="BI672" i="24" s="1"/>
  <c r="CK673" i="24" s="1"/>
  <c r="CJ738" i="24"/>
  <c r="AS670" i="24"/>
  <c r="AI659" i="24"/>
  <c r="CI659" i="24" s="1"/>
  <c r="AI657" i="24"/>
  <c r="AI655" i="24"/>
  <c r="CI655" i="24" s="1"/>
  <c r="AJ651" i="24"/>
  <c r="AB532" i="24"/>
  <c r="AV479" i="24"/>
  <c r="AE469" i="24"/>
  <c r="CI456" i="24"/>
  <c r="P395" i="24"/>
  <c r="AZ391" i="24"/>
  <c r="AG395" i="24" s="1"/>
  <c r="AG371" i="24"/>
  <c r="AV346" i="24"/>
  <c r="AV200" i="24"/>
  <c r="AI707" i="24"/>
  <c r="X720" i="24" s="1"/>
  <c r="AS701" i="24"/>
  <c r="CJ701" i="24" s="1"/>
  <c r="X644" i="24"/>
  <c r="AZ325" i="24"/>
  <c r="X773" i="24"/>
  <c r="CJ755" i="24"/>
  <c r="CI717" i="24"/>
  <c r="AK720" i="24"/>
  <c r="Z703" i="24"/>
  <c r="AS703" i="24" s="1"/>
  <c r="Q721" i="24"/>
  <c r="CI716" i="24"/>
  <c r="AD720" i="24"/>
  <c r="CJ712" i="24"/>
  <c r="AQ721" i="24"/>
  <c r="CJ764" i="24"/>
  <c r="AK773" i="24"/>
  <c r="CJ711" i="24"/>
  <c r="AK721" i="24"/>
  <c r="Z713" i="24"/>
  <c r="AS713" i="24" s="1"/>
  <c r="CJ702" i="24"/>
  <c r="X721" i="24"/>
  <c r="AS687" i="24"/>
  <c r="AH691" i="24" s="1"/>
  <c r="AG687" i="24"/>
  <c r="CI742" i="24"/>
  <c r="CI733" i="24"/>
  <c r="CI657" i="24"/>
  <c r="AL670" i="24"/>
  <c r="CK638" i="24"/>
  <c r="CK622" i="24" s="1"/>
  <c r="Q645" i="24"/>
  <c r="AX645" i="24" s="1"/>
  <c r="CK646" i="24" s="1"/>
  <c r="Q643" i="24"/>
  <c r="CI629" i="24"/>
  <c r="O609" i="24"/>
  <c r="AN609" i="24" s="1"/>
  <c r="Q617" i="24"/>
  <c r="AI617" i="24" s="1"/>
  <c r="Z579" i="24"/>
  <c r="CI574" i="24"/>
  <c r="W576" i="24"/>
  <c r="W557" i="24"/>
  <c r="AB560" i="24"/>
  <c r="CI555" i="24"/>
  <c r="CI543" i="24"/>
  <c r="CI536" i="24" s="1"/>
  <c r="Q546" i="24"/>
  <c r="AK546" i="24" s="1"/>
  <c r="AI769" i="24"/>
  <c r="AS763" i="24"/>
  <c r="AS754" i="24"/>
  <c r="AI732" i="24"/>
  <c r="BA670" i="24"/>
  <c r="CJ539" i="24"/>
  <c r="Q547" i="24"/>
  <c r="AB531" i="24"/>
  <c r="CI528" i="24"/>
  <c r="CI656" i="24"/>
  <c r="CI648" i="24" s="1"/>
  <c r="AA670" i="24"/>
  <c r="CJ650" i="24"/>
  <c r="Q671" i="24"/>
  <c r="AP643" i="24"/>
  <c r="CI632" i="24"/>
  <c r="CI630" i="24"/>
  <c r="AA643" i="24"/>
  <c r="AF644" i="24"/>
  <c r="CJ626" i="24"/>
  <c r="CJ624" i="24"/>
  <c r="Q644" i="24"/>
  <c r="CI603" i="24"/>
  <c r="CI584" i="24"/>
  <c r="CI573" i="24"/>
  <c r="CI565" i="24" s="1"/>
  <c r="O576" i="24"/>
  <c r="Q579" i="24"/>
  <c r="AR579" i="24" s="1"/>
  <c r="Q560" i="24"/>
  <c r="AK560" i="24" s="1"/>
  <c r="CI554" i="24"/>
  <c r="CI551" i="24" s="1"/>
  <c r="O557" i="24"/>
  <c r="AN557" i="24" s="1"/>
  <c r="CJ540" i="24"/>
  <c r="AB547" i="24"/>
  <c r="AL532" i="24"/>
  <c r="CJ524" i="24"/>
  <c r="AI758" i="24"/>
  <c r="AI743" i="24"/>
  <c r="AS737" i="24"/>
  <c r="AS728" i="24"/>
  <c r="Q720" i="24"/>
  <c r="AF671" i="24"/>
  <c r="Q670" i="24"/>
  <c r="BI670" i="24" s="1"/>
  <c r="CK648" i="24"/>
  <c r="CI527" i="24"/>
  <c r="CI519" i="24" s="1"/>
  <c r="Q531" i="24"/>
  <c r="AV531" i="24" s="1"/>
  <c r="CJ522" i="24"/>
  <c r="CJ519" i="24" s="1"/>
  <c r="Q532" i="24"/>
  <c r="AV532" i="24" s="1"/>
  <c r="CJ534" i="24" s="1"/>
  <c r="CI479" i="24"/>
  <c r="AG486" i="24"/>
  <c r="P487" i="24"/>
  <c r="CJ467" i="24"/>
  <c r="CI500" i="24"/>
  <c r="X482" i="24"/>
  <c r="AR482" i="24" s="1"/>
  <c r="AP486" i="24" s="1"/>
  <c r="X483" i="24"/>
  <c r="X484" i="24"/>
  <c r="AR484" i="24" s="1"/>
  <c r="X488" i="24" s="1"/>
  <c r="AO472" i="24"/>
  <c r="CI455" i="24"/>
  <c r="AE458" i="24"/>
  <c r="AP404" i="24"/>
  <c r="BK405" i="24"/>
  <c r="CI379" i="24"/>
  <c r="Y394" i="24"/>
  <c r="CI325" i="24"/>
  <c r="Y330" i="24"/>
  <c r="W612" i="24"/>
  <c r="O593" i="24"/>
  <c r="AN593" i="24" s="1"/>
  <c r="W590" i="24"/>
  <c r="Q580" i="24"/>
  <c r="W571" i="24"/>
  <c r="AI501" i="24"/>
  <c r="CJ501" i="24" s="1"/>
  <c r="CJ491" i="24" s="1"/>
  <c r="AB500" i="24"/>
  <c r="AX449" i="24"/>
  <c r="AP432" i="24"/>
  <c r="BK433" i="24"/>
  <c r="AI410" i="24"/>
  <c r="CK410" i="24" s="1"/>
  <c r="CK399" i="24" s="1"/>
  <c r="CI383" i="24"/>
  <c r="AG394" i="24"/>
  <c r="O612" i="24"/>
  <c r="AN612" i="24" s="1"/>
  <c r="O590" i="24"/>
  <c r="AN590" i="24" s="1"/>
  <c r="O571" i="24"/>
  <c r="BK511" i="24"/>
  <c r="AI502" i="24"/>
  <c r="CK502" i="24" s="1"/>
  <c r="CK491" i="24" s="1"/>
  <c r="AB501" i="24"/>
  <c r="AR483" i="24"/>
  <c r="AG487" i="24" s="1"/>
  <c r="AV478" i="24"/>
  <c r="AX450" i="24"/>
  <c r="AN387" i="24"/>
  <c r="CK369" i="24"/>
  <c r="CK353" i="24" s="1"/>
  <c r="Y373" i="24"/>
  <c r="AV373" i="24" s="1"/>
  <c r="CK374" i="24" s="1"/>
  <c r="P372" i="24"/>
  <c r="CJ361" i="24"/>
  <c r="Z598" i="24"/>
  <c r="AI598" i="24" s="1"/>
  <c r="CJ446" i="24"/>
  <c r="X459" i="24"/>
  <c r="AI438" i="24"/>
  <c r="CK438" i="24" s="1"/>
  <c r="CK427" i="24" s="1"/>
  <c r="CJ346" i="24"/>
  <c r="Y349" i="24"/>
  <c r="CJ200" i="24"/>
  <c r="Y203" i="24"/>
  <c r="CI137" i="24"/>
  <c r="AI436" i="24"/>
  <c r="BK419" i="24"/>
  <c r="AI409" i="24"/>
  <c r="CJ409" i="24" s="1"/>
  <c r="CJ399" i="24" s="1"/>
  <c r="AS378" i="24"/>
  <c r="AN371" i="24"/>
  <c r="AN364" i="24"/>
  <c r="AS356" i="24"/>
  <c r="CI343" i="24"/>
  <c r="AI328" i="24"/>
  <c r="AI256" i="24"/>
  <c r="X248" i="24"/>
  <c r="AD248" i="24" s="1"/>
  <c r="X249" i="24"/>
  <c r="AD249" i="24" s="1"/>
  <c r="X250" i="24"/>
  <c r="AD250" i="24" s="1"/>
  <c r="W230" i="24"/>
  <c r="CI228" i="24"/>
  <c r="Y240" i="24"/>
  <c r="CI197" i="24"/>
  <c r="Y168" i="24"/>
  <c r="CK164" i="24"/>
  <c r="AB146" i="24"/>
  <c r="AB147" i="24"/>
  <c r="AB148" i="24"/>
  <c r="AI147" i="24"/>
  <c r="CJ147" i="24" s="1"/>
  <c r="CJ137" i="24" s="1"/>
  <c r="CI355" i="24"/>
  <c r="P371" i="24"/>
  <c r="CJ339" i="24"/>
  <c r="P349" i="24"/>
  <c r="AO349" i="24" s="1"/>
  <c r="CJ351" i="24" s="1"/>
  <c r="AI310" i="24"/>
  <c r="X302" i="24"/>
  <c r="AD302" i="24" s="1"/>
  <c r="X303" i="24"/>
  <c r="AD303" i="24" s="1"/>
  <c r="X304" i="24"/>
  <c r="AD304" i="24" s="1"/>
  <c r="X266" i="24"/>
  <c r="AD266" i="24" s="1"/>
  <c r="X267" i="24"/>
  <c r="X268" i="24"/>
  <c r="AD268" i="24" s="1"/>
  <c r="AI218" i="24"/>
  <c r="X210" i="24"/>
  <c r="AD210" i="24" s="1"/>
  <c r="X211" i="24"/>
  <c r="AD211" i="24" s="1"/>
  <c r="X212" i="24"/>
  <c r="AD212" i="24" s="1"/>
  <c r="AD193" i="24"/>
  <c r="AP114" i="24"/>
  <c r="BK115" i="24"/>
  <c r="AQ385" i="24"/>
  <c r="BA368" i="24"/>
  <c r="AV328" i="24"/>
  <c r="X320" i="24"/>
  <c r="AD320" i="24" s="1"/>
  <c r="X321" i="24"/>
  <c r="X322" i="24"/>
  <c r="AD322" i="24" s="1"/>
  <c r="AZ307" i="24"/>
  <c r="AD267" i="24"/>
  <c r="AV256" i="24"/>
  <c r="CK225" i="24"/>
  <c r="AH227" i="24"/>
  <c r="AZ215" i="24"/>
  <c r="Y167" i="24"/>
  <c r="CJ163" i="24"/>
  <c r="CK151" i="24"/>
  <c r="CI154" i="24"/>
  <c r="Y166" i="24"/>
  <c r="AH153" i="24"/>
  <c r="AZ89" i="24"/>
  <c r="BK90" i="24"/>
  <c r="AY20" i="24"/>
  <c r="M26" i="24" s="1"/>
  <c r="AI408" i="24"/>
  <c r="AD340" i="24"/>
  <c r="AD338" i="24"/>
  <c r="AD321" i="24"/>
  <c r="AV310" i="24"/>
  <c r="AD283" i="24"/>
  <c r="AI274" i="24"/>
  <c r="AV274" i="24" s="1"/>
  <c r="AP271" i="24"/>
  <c r="AZ271" i="24" s="1"/>
  <c r="AP253" i="24"/>
  <c r="AZ253" i="24" s="1"/>
  <c r="AV218" i="24"/>
  <c r="AD194" i="24"/>
  <c r="AD192" i="24"/>
  <c r="CJ182" i="24"/>
  <c r="CI179" i="24"/>
  <c r="Y184" i="24"/>
  <c r="P168" i="24"/>
  <c r="AO168" i="24" s="1"/>
  <c r="CK169" i="24" s="1"/>
  <c r="CI102" i="24"/>
  <c r="CI98" i="24" s="1"/>
  <c r="CH98" i="24" s="1"/>
  <c r="P104" i="24"/>
  <c r="CH82" i="24"/>
  <c r="AN23" i="24"/>
  <c r="AY23" i="24" s="1"/>
  <c r="AC26" i="24" s="1"/>
  <c r="X174" i="24"/>
  <c r="AD174" i="24" s="1"/>
  <c r="X175" i="24"/>
  <c r="AD175" i="24" s="1"/>
  <c r="X176" i="24"/>
  <c r="AD176" i="24" s="1"/>
  <c r="AD125" i="24"/>
  <c r="CH149" i="24" l="1"/>
  <c r="CI707" i="24"/>
  <c r="CI698" i="24" s="1"/>
  <c r="CJ335" i="24"/>
  <c r="AN571" i="24"/>
  <c r="CH519" i="24"/>
  <c r="AQ720" i="24"/>
  <c r="AO242" i="24"/>
  <c r="CK243" i="24" s="1"/>
  <c r="CJ651" i="24"/>
  <c r="CJ648" i="24" s="1"/>
  <c r="CH648" i="24" s="1"/>
  <c r="X671" i="24"/>
  <c r="CJ274" i="24"/>
  <c r="Y277" i="24"/>
  <c r="P332" i="24"/>
  <c r="AO332" i="24" s="1"/>
  <c r="CK333" i="24" s="1"/>
  <c r="CK322" i="24"/>
  <c r="CK317" i="24" s="1"/>
  <c r="P278" i="24"/>
  <c r="AO278" i="24" s="1"/>
  <c r="CK279" i="24" s="1"/>
  <c r="CK268" i="24"/>
  <c r="CK263" i="24" s="1"/>
  <c r="CK176" i="24"/>
  <c r="CK171" i="24" s="1"/>
  <c r="P186" i="24"/>
  <c r="AO186" i="24" s="1"/>
  <c r="CK187" i="24" s="1"/>
  <c r="Y258" i="24"/>
  <c r="CI253" i="24"/>
  <c r="P330" i="24"/>
  <c r="AO330" i="24" s="1"/>
  <c r="CI320" i="24"/>
  <c r="CI317" i="24" s="1"/>
  <c r="CI266" i="24"/>
  <c r="P276" i="24"/>
  <c r="CI601" i="24"/>
  <c r="AZ128" i="24"/>
  <c r="BK129" i="24"/>
  <c r="CI192" i="24"/>
  <c r="CI189" i="24" s="1"/>
  <c r="P202" i="24"/>
  <c r="AO202" i="24" s="1"/>
  <c r="CI271" i="24"/>
  <c r="Y276" i="24"/>
  <c r="CJ321" i="24"/>
  <c r="P331" i="24"/>
  <c r="AB93" i="24"/>
  <c r="AB94" i="24"/>
  <c r="AB95" i="24"/>
  <c r="AI93" i="24"/>
  <c r="AI94" i="24"/>
  <c r="CJ94" i="24" s="1"/>
  <c r="CJ84" i="24" s="1"/>
  <c r="AI95" i="24"/>
  <c r="CK95" i="24" s="1"/>
  <c r="CK84" i="24" s="1"/>
  <c r="Y220" i="24"/>
  <c r="CI215" i="24"/>
  <c r="P277" i="24"/>
  <c r="AO277" i="24" s="1"/>
  <c r="CJ279" i="24" s="1"/>
  <c r="CJ267" i="24"/>
  <c r="CJ263" i="24" s="1"/>
  <c r="CK385" i="24"/>
  <c r="CK376" i="24" s="1"/>
  <c r="P396" i="24"/>
  <c r="AV396" i="24" s="1"/>
  <c r="CK397" i="24" s="1"/>
  <c r="CI210" i="24"/>
  <c r="CI207" i="24" s="1"/>
  <c r="P220" i="24"/>
  <c r="CJ303" i="24"/>
  <c r="P313" i="24"/>
  <c r="P258" i="24"/>
  <c r="AO258" i="24" s="1"/>
  <c r="CI248" i="24"/>
  <c r="CI245" i="24" s="1"/>
  <c r="CI436" i="24"/>
  <c r="AI580" i="24"/>
  <c r="AR580" i="24" s="1"/>
  <c r="CJ582" i="24" s="1"/>
  <c r="CJ571" i="24"/>
  <c r="CJ565" i="24" s="1"/>
  <c r="AB436" i="24"/>
  <c r="AB437" i="24"/>
  <c r="AB438" i="24"/>
  <c r="AB409" i="24"/>
  <c r="AB408" i="24"/>
  <c r="AB410" i="24"/>
  <c r="CJ728" i="24"/>
  <c r="Q747" i="24"/>
  <c r="CI563" i="24"/>
  <c r="CJ754" i="24"/>
  <c r="Q773" i="24"/>
  <c r="CI549" i="24"/>
  <c r="CI620" i="24"/>
  <c r="CI104" i="24"/>
  <c r="P107" i="24"/>
  <c r="CH107" i="24" s="1"/>
  <c r="P204" i="24"/>
  <c r="AO204" i="24" s="1"/>
  <c r="CK205" i="24" s="1"/>
  <c r="CK194" i="24"/>
  <c r="CK189" i="24" s="1"/>
  <c r="CI338" i="24"/>
  <c r="CI335" i="24" s="1"/>
  <c r="P348" i="24"/>
  <c r="AO348" i="24" s="1"/>
  <c r="P240" i="24"/>
  <c r="AO240" i="24" s="1"/>
  <c r="CI227" i="24"/>
  <c r="CI225" i="24" s="1"/>
  <c r="M230" i="24"/>
  <c r="AL230" i="24" s="1"/>
  <c r="CJ193" i="24"/>
  <c r="CJ189" i="24" s="1"/>
  <c r="P203" i="24"/>
  <c r="AO203" i="24" s="1"/>
  <c r="CJ205" i="24" s="1"/>
  <c r="CI302" i="24"/>
  <c r="P312" i="24"/>
  <c r="CI378" i="24"/>
  <c r="CI376" i="24" s="1"/>
  <c r="CH376" i="24" s="1"/>
  <c r="P394" i="24"/>
  <c r="AV394" i="24" s="1"/>
  <c r="CJ387" i="24"/>
  <c r="CJ376" i="24" s="1"/>
  <c r="Y395" i="24"/>
  <c r="AV395" i="24" s="1"/>
  <c r="CJ397" i="24" s="1"/>
  <c r="CK590" i="24"/>
  <c r="CK584" i="24" s="1"/>
  <c r="Q600" i="24"/>
  <c r="AI600" i="24" s="1"/>
  <c r="CK601" i="24" s="1"/>
  <c r="X474" i="24"/>
  <c r="AP474" i="24" s="1"/>
  <c r="X475" i="24"/>
  <c r="AP475" i="24" s="1"/>
  <c r="X473" i="24"/>
  <c r="AP473" i="24" s="1"/>
  <c r="CI491" i="24"/>
  <c r="CH491" i="24" s="1"/>
  <c r="CH503" i="24"/>
  <c r="CI534" i="24"/>
  <c r="CH534" i="24" s="1"/>
  <c r="Q534" i="24"/>
  <c r="CI673" i="24"/>
  <c r="AD747" i="24"/>
  <c r="CJ737" i="24"/>
  <c r="Z739" i="24"/>
  <c r="AS739" i="24" s="1"/>
  <c r="CI582" i="24"/>
  <c r="CJ763" i="24"/>
  <c r="Z765" i="24"/>
  <c r="AS765" i="24" s="1"/>
  <c r="AD773" i="24"/>
  <c r="CK609" i="24"/>
  <c r="CK603" i="24" s="1"/>
  <c r="Q619" i="24"/>
  <c r="AI619" i="24" s="1"/>
  <c r="CK620" i="24" s="1"/>
  <c r="CJ713" i="24"/>
  <c r="AV721" i="24"/>
  <c r="AV690" i="24"/>
  <c r="P185" i="24"/>
  <c r="AO185" i="24" s="1"/>
  <c r="CJ187" i="24" s="1"/>
  <c r="CJ175" i="24"/>
  <c r="CJ171" i="24" s="1"/>
  <c r="Y221" i="24"/>
  <c r="CJ218" i="24"/>
  <c r="AP289" i="24"/>
  <c r="AZ289" i="24" s="1"/>
  <c r="AI292" i="24"/>
  <c r="AV292" i="24" s="1"/>
  <c r="X284" i="24"/>
  <c r="AD284" i="24" s="1"/>
  <c r="X286" i="24"/>
  <c r="AD286" i="24" s="1"/>
  <c r="X285" i="24"/>
  <c r="AD285" i="24" s="1"/>
  <c r="P350" i="24"/>
  <c r="AO350" i="24" s="1"/>
  <c r="CK351" i="24" s="1"/>
  <c r="CK340" i="24"/>
  <c r="CK335" i="24" s="1"/>
  <c r="CI153" i="24"/>
  <c r="CI151" i="24" s="1"/>
  <c r="M156" i="24"/>
  <c r="AL156" i="24" s="1"/>
  <c r="P166" i="24"/>
  <c r="AO166" i="24" s="1"/>
  <c r="Y312" i="24"/>
  <c r="CI307" i="24"/>
  <c r="CJ328" i="24"/>
  <c r="Y331" i="24"/>
  <c r="CK212" i="24"/>
  <c r="CK207" i="24" s="1"/>
  <c r="P222" i="24"/>
  <c r="AO222" i="24" s="1"/>
  <c r="CK223" i="24" s="1"/>
  <c r="P149" i="24"/>
  <c r="CK250" i="24"/>
  <c r="CK245" i="24" s="1"/>
  <c r="P260" i="24"/>
  <c r="AO260" i="24" s="1"/>
  <c r="CK261" i="24" s="1"/>
  <c r="CI356" i="24"/>
  <c r="CI353" i="24" s="1"/>
  <c r="Y371" i="24"/>
  <c r="CH137" i="24"/>
  <c r="X452" i="24"/>
  <c r="CI450" i="24"/>
  <c r="X458" i="24"/>
  <c r="CJ612" i="24"/>
  <c r="Q618" i="24"/>
  <c r="O614" i="24"/>
  <c r="AF614" i="24" s="1"/>
  <c r="AI437" i="24"/>
  <c r="CJ437" i="24" s="1"/>
  <c r="CJ427" i="24" s="1"/>
  <c r="P503" i="24"/>
  <c r="AK746" i="24"/>
  <c r="CI743" i="24"/>
  <c r="CK557" i="24"/>
  <c r="CK551" i="24" s="1"/>
  <c r="Q562" i="24"/>
  <c r="AK562" i="24" s="1"/>
  <c r="CK563" i="24" s="1"/>
  <c r="AN576" i="24"/>
  <c r="AX644" i="24"/>
  <c r="CJ646" i="24" s="1"/>
  <c r="BI671" i="24"/>
  <c r="CJ673" i="24" s="1"/>
  <c r="AK547" i="24"/>
  <c r="CJ549" i="24" s="1"/>
  <c r="CI769" i="24"/>
  <c r="AK772" i="24"/>
  <c r="CI622" i="24"/>
  <c r="CI174" i="24"/>
  <c r="CI171" i="24" s="1"/>
  <c r="CH171" i="24" s="1"/>
  <c r="P184" i="24"/>
  <c r="AO184" i="24" s="1"/>
  <c r="Y313" i="24"/>
  <c r="CJ310" i="24"/>
  <c r="P411" i="24"/>
  <c r="CI408" i="24"/>
  <c r="AY26" i="24"/>
  <c r="Y259" i="24"/>
  <c r="CJ256" i="24"/>
  <c r="CJ368" i="24"/>
  <c r="AG372" i="24"/>
  <c r="AB118" i="24"/>
  <c r="AB119" i="24"/>
  <c r="AB120" i="24"/>
  <c r="AI120" i="24"/>
  <c r="CK120" i="24" s="1"/>
  <c r="CK109" i="24" s="1"/>
  <c r="AI119" i="24"/>
  <c r="CJ119" i="24" s="1"/>
  <c r="CJ109" i="24" s="1"/>
  <c r="AI118" i="24"/>
  <c r="CJ211" i="24"/>
  <c r="CJ207" i="24" s="1"/>
  <c r="P221" i="24"/>
  <c r="CK304" i="24"/>
  <c r="CK299" i="24" s="1"/>
  <c r="P314" i="24"/>
  <c r="AO314" i="24" s="1"/>
  <c r="CK315" i="24" s="1"/>
  <c r="AV371" i="24"/>
  <c r="CJ249" i="24"/>
  <c r="P259" i="24"/>
  <c r="AO259" i="24" s="1"/>
  <c r="CJ261" i="24" s="1"/>
  <c r="CJ364" i="24"/>
  <c r="Y372" i="24"/>
  <c r="AV372" i="24" s="1"/>
  <c r="CJ374" i="24" s="1"/>
  <c r="AI422" i="24"/>
  <c r="AI423" i="24"/>
  <c r="CJ423" i="24" s="1"/>
  <c r="CJ413" i="24" s="1"/>
  <c r="AI424" i="24"/>
  <c r="CK424" i="24" s="1"/>
  <c r="CK413" i="24" s="1"/>
  <c r="AB423" i="24"/>
  <c r="AB422" i="24"/>
  <c r="AB424" i="24"/>
  <c r="X486" i="24"/>
  <c r="CI478" i="24"/>
  <c r="AB514" i="24"/>
  <c r="AB515" i="24"/>
  <c r="AB516" i="24"/>
  <c r="AI514" i="24"/>
  <c r="AI515" i="24"/>
  <c r="CJ515" i="24" s="1"/>
  <c r="CJ505" i="24" s="1"/>
  <c r="AI516" i="24"/>
  <c r="CK516" i="24" s="1"/>
  <c r="CK505" i="24" s="1"/>
  <c r="CI449" i="24"/>
  <c r="P458" i="24"/>
  <c r="AR458" i="24" s="1"/>
  <c r="P452" i="24"/>
  <c r="CJ593" i="24"/>
  <c r="Q599" i="24"/>
  <c r="O595" i="24"/>
  <c r="AF595" i="24" s="1"/>
  <c r="CI723" i="24"/>
  <c r="CI758" i="24"/>
  <c r="Q772" i="24"/>
  <c r="AQ772" i="24" s="1"/>
  <c r="CH551" i="24"/>
  <c r="CJ622" i="24"/>
  <c r="CJ536" i="24"/>
  <c r="CH536" i="24" s="1"/>
  <c r="CI732" i="24"/>
  <c r="CI725" i="24" s="1"/>
  <c r="Q746" i="24"/>
  <c r="AQ746" i="24" s="1"/>
  <c r="AX643" i="24"/>
  <c r="CJ703" i="24"/>
  <c r="CJ698" i="24" s="1"/>
  <c r="CH698" i="24" s="1"/>
  <c r="AD721" i="24"/>
  <c r="AZ721" i="24" s="1"/>
  <c r="CJ353" i="24" l="1"/>
  <c r="CI751" i="24"/>
  <c r="AM452" i="24"/>
  <c r="CJ245" i="24"/>
  <c r="AO221" i="24"/>
  <c r="CJ223" i="24" s="1"/>
  <c r="CH353" i="24"/>
  <c r="AO220" i="24"/>
  <c r="CJ723" i="24"/>
  <c r="Q723" i="24"/>
  <c r="Q646" i="24"/>
  <c r="CI646" i="24"/>
  <c r="CH646" i="24" s="1"/>
  <c r="CJ595" i="24"/>
  <c r="Z599" i="24"/>
  <c r="CI461" i="24"/>
  <c r="CI514" i="24"/>
  <c r="P517" i="24"/>
  <c r="P374" i="24"/>
  <c r="CI374" i="24"/>
  <c r="CH374" i="24" s="1"/>
  <c r="CI399" i="24"/>
  <c r="CH399" i="24" s="1"/>
  <c r="CH411" i="24"/>
  <c r="CJ614" i="24"/>
  <c r="Z618" i="24"/>
  <c r="CJ285" i="24"/>
  <c r="P295" i="24"/>
  <c r="Y294" i="24"/>
  <c r="CI289" i="24"/>
  <c r="CJ739" i="24"/>
  <c r="CJ725" i="24" s="1"/>
  <c r="CH725" i="24" s="1"/>
  <c r="AP747" i="24"/>
  <c r="Q673" i="24"/>
  <c r="CI299" i="24"/>
  <c r="P241" i="24"/>
  <c r="AO241" i="24" s="1"/>
  <c r="CJ243" i="24" s="1"/>
  <c r="CJ230" i="24"/>
  <c r="CJ225" i="24" s="1"/>
  <c r="CI351" i="24"/>
  <c r="CH351" i="24" s="1"/>
  <c r="P351" i="24"/>
  <c r="CH549" i="24"/>
  <c r="P439" i="24"/>
  <c r="AO313" i="24"/>
  <c r="CJ315" i="24" s="1"/>
  <c r="CI333" i="24"/>
  <c r="CI749" i="24"/>
  <c r="CH723" i="24"/>
  <c r="AI599" i="24"/>
  <c r="CI441" i="24"/>
  <c r="CI118" i="24"/>
  <c r="P121" i="24"/>
  <c r="P187" i="24"/>
  <c r="CI187" i="24"/>
  <c r="CH187" i="24" s="1"/>
  <c r="CK576" i="24"/>
  <c r="CK565" i="24" s="1"/>
  <c r="CH565" i="24" s="1"/>
  <c r="Q581" i="24"/>
  <c r="AR581" i="24" s="1"/>
  <c r="AI618" i="24"/>
  <c r="CK286" i="24"/>
  <c r="CK281" i="24" s="1"/>
  <c r="P296" i="24"/>
  <c r="AO296" i="24" s="1"/>
  <c r="CK297" i="24" s="1"/>
  <c r="P486" i="24"/>
  <c r="BD486" i="24" s="1"/>
  <c r="CI473" i="24"/>
  <c r="CI463" i="24" s="1"/>
  <c r="CI397" i="24"/>
  <c r="CH397" i="24" s="1"/>
  <c r="P397" i="24"/>
  <c r="CH225" i="24"/>
  <c r="CH335" i="24"/>
  <c r="Q549" i="24"/>
  <c r="CH563" i="24"/>
  <c r="CH245" i="24"/>
  <c r="CJ299" i="24"/>
  <c r="P96" i="24"/>
  <c r="CI93" i="24"/>
  <c r="AO331" i="24"/>
  <c r="CJ333" i="24" s="1"/>
  <c r="CI205" i="24"/>
  <c r="CH205" i="24" s="1"/>
  <c r="P205" i="24"/>
  <c r="AO276" i="24"/>
  <c r="CJ584" i="24"/>
  <c r="CH584" i="24" s="1"/>
  <c r="CJ603" i="24"/>
  <c r="CH603" i="24" s="1"/>
  <c r="CI169" i="24"/>
  <c r="CI284" i="24"/>
  <c r="P294" i="24"/>
  <c r="AO294" i="24" s="1"/>
  <c r="AB693" i="24"/>
  <c r="AI693" i="24" s="1"/>
  <c r="AB695" i="24"/>
  <c r="AI695" i="24" s="1"/>
  <c r="CK696" i="24" s="1"/>
  <c r="CK676" i="24" s="1"/>
  <c r="AB694" i="24"/>
  <c r="AI694" i="24" s="1"/>
  <c r="CJ696" i="24" s="1"/>
  <c r="CJ676" i="24" s="1"/>
  <c r="CK475" i="24"/>
  <c r="CK463" i="24" s="1"/>
  <c r="P488" i="24"/>
  <c r="BD488" i="24" s="1"/>
  <c r="CK488" i="24" s="1"/>
  <c r="CI243" i="24"/>
  <c r="P243" i="24"/>
  <c r="Q563" i="24"/>
  <c r="P261" i="24"/>
  <c r="CI261" i="24"/>
  <c r="CH261" i="24" s="1"/>
  <c r="P223" i="24"/>
  <c r="CI223" i="24"/>
  <c r="CH223" i="24" s="1"/>
  <c r="CJ317" i="24"/>
  <c r="CH317" i="24" s="1"/>
  <c r="CH189" i="24"/>
  <c r="AB133" i="24"/>
  <c r="AB132" i="24"/>
  <c r="AI132" i="24"/>
  <c r="AB134" i="24"/>
  <c r="AI134" i="24"/>
  <c r="CK134" i="24" s="1"/>
  <c r="CK123" i="24" s="1"/>
  <c r="AI133" i="24"/>
  <c r="CJ133" i="24" s="1"/>
  <c r="CJ123" i="24" s="1"/>
  <c r="CI263" i="24"/>
  <c r="CH263" i="24" s="1"/>
  <c r="CI775" i="24"/>
  <c r="AE459" i="24"/>
  <c r="AR459" i="24" s="1"/>
  <c r="CJ461" i="24" s="1"/>
  <c r="CJ452" i="24"/>
  <c r="CJ441" i="24" s="1"/>
  <c r="P425" i="24"/>
  <c r="CI422" i="24"/>
  <c r="CH622" i="24"/>
  <c r="CJ156" i="24"/>
  <c r="CJ151" i="24" s="1"/>
  <c r="CH151" i="24" s="1"/>
  <c r="P167" i="24"/>
  <c r="AO167" i="24" s="1"/>
  <c r="CJ169" i="24" s="1"/>
  <c r="Y295" i="24"/>
  <c r="CJ292" i="24"/>
  <c r="AP773" i="24"/>
  <c r="AV773" i="24" s="1"/>
  <c r="CJ765" i="24"/>
  <c r="CJ751" i="24" s="1"/>
  <c r="CH751" i="24" s="1"/>
  <c r="CH673" i="24"/>
  <c r="CJ474" i="24"/>
  <c r="CJ463" i="24" s="1"/>
  <c r="X487" i="24"/>
  <c r="BD487" i="24" s="1"/>
  <c r="CJ488" i="24" s="1"/>
  <c r="AO312" i="24"/>
  <c r="AV747" i="24"/>
  <c r="CJ749" i="24" s="1"/>
  <c r="CI427" i="24"/>
  <c r="CH427" i="24" s="1"/>
  <c r="CH439" i="24"/>
  <c r="CH207" i="24"/>
  <c r="CI281" i="24" l="1"/>
  <c r="CH243" i="24"/>
  <c r="CJ775" i="24"/>
  <c r="CH775" i="24" s="1"/>
  <c r="Q775" i="24"/>
  <c r="CI297" i="24"/>
  <c r="CH441" i="24"/>
  <c r="CH749" i="24"/>
  <c r="CH333" i="24"/>
  <c r="CH299" i="24"/>
  <c r="P461" i="24"/>
  <c r="CJ620" i="24"/>
  <c r="CH620" i="24" s="1"/>
  <c r="Q620" i="24"/>
  <c r="CJ601" i="24"/>
  <c r="CH601" i="24" s="1"/>
  <c r="Q601" i="24"/>
  <c r="P333" i="24"/>
  <c r="AO295" i="24"/>
  <c r="CJ297" i="24" s="1"/>
  <c r="CI132" i="24"/>
  <c r="P135" i="24"/>
  <c r="CH169" i="24"/>
  <c r="CH463" i="24"/>
  <c r="CK582" i="24"/>
  <c r="CH582" i="24" s="1"/>
  <c r="Q582" i="24"/>
  <c r="CJ281" i="24"/>
  <c r="CH281" i="24" s="1"/>
  <c r="CI505" i="24"/>
  <c r="CH505" i="24" s="1"/>
  <c r="CH517" i="24"/>
  <c r="P315" i="24"/>
  <c r="CI315" i="24"/>
  <c r="CH315" i="24" s="1"/>
  <c r="CI413" i="24"/>
  <c r="CH413" i="24" s="1"/>
  <c r="CH425" i="24"/>
  <c r="P696" i="24"/>
  <c r="CI696" i="24"/>
  <c r="P169" i="24"/>
  <c r="P279" i="24"/>
  <c r="CI279" i="24"/>
  <c r="CH279" i="24" s="1"/>
  <c r="CI84" i="24"/>
  <c r="CH84" i="24" s="1"/>
  <c r="CH96" i="24"/>
  <c r="P489" i="24"/>
  <c r="CI488" i="24"/>
  <c r="CH488" i="24" s="1"/>
  <c r="CI109" i="24"/>
  <c r="CH109" i="24" s="1"/>
  <c r="CH121" i="24"/>
  <c r="Q749" i="24"/>
  <c r="CH461" i="24"/>
  <c r="CI676" i="24" l="1"/>
  <c r="CH676" i="24" s="1"/>
  <c r="CH696" i="24"/>
  <c r="CI123" i="24"/>
  <c r="CH123" i="24" s="1"/>
  <c r="CH135" i="24"/>
  <c r="P297" i="24"/>
  <c r="CH297" i="24"/>
</calcChain>
</file>

<file path=xl/sharedStrings.xml><?xml version="1.0" encoding="utf-8"?>
<sst xmlns="http://schemas.openxmlformats.org/spreadsheetml/2006/main" count="3239" uniqueCount="552">
  <si>
    <t>단  가</t>
  </si>
  <si>
    <t>도급액</t>
  </si>
  <si>
    <t>수 량</t>
  </si>
  <si>
    <t>보통인부</t>
  </si>
  <si>
    <t>경    비</t>
  </si>
  <si>
    <t>부가가치세</t>
  </si>
  <si>
    <t>%</t>
  </si>
  <si>
    <t>비    고</t>
  </si>
  <si>
    <t>이윤</t>
  </si>
  <si>
    <t>고용보험료</t>
  </si>
  <si>
    <t>단위</t>
  </si>
  <si>
    <t>총공사비</t>
  </si>
  <si>
    <t>산재보험료</t>
  </si>
  <si>
    <t>하도급대금지급보증수수료</t>
  </si>
  <si>
    <t>1.</t>
  </si>
  <si>
    <t>건설기계대여금지급보증서발급액</t>
  </si>
  <si>
    <t>금   액</t>
  </si>
  <si>
    <t>건강보험료</t>
  </si>
  <si>
    <t>소계</t>
  </si>
  <si>
    <t>재료비</t>
  </si>
  <si>
    <t>개소</t>
  </si>
  <si>
    <t>품    명</t>
  </si>
  <si>
    <t>2.</t>
  </si>
  <si>
    <t>규   격</t>
  </si>
  <si>
    <t>환경보전비</t>
  </si>
  <si>
    <t>간접노무비</t>
  </si>
  <si>
    <t>노무비</t>
  </si>
  <si>
    <t>연금보험료</t>
  </si>
  <si>
    <t>총원가</t>
  </si>
  <si>
    <t>일반관리비</t>
  </si>
  <si>
    <t>산업안전보건관리비</t>
  </si>
  <si>
    <t>인</t>
  </si>
  <si>
    <t>노인장기요양보험료</t>
  </si>
  <si>
    <t>순공사원가</t>
  </si>
  <si>
    <t>합    계</t>
  </si>
  <si>
    <t>기타경비</t>
  </si>
  <si>
    <t>공종</t>
  </si>
  <si>
    <t/>
  </si>
  <si>
    <t>식</t>
    <phoneticPr fontId="5" type="noConversion"/>
  </si>
  <si>
    <t>보통인부</t>
    <phoneticPr fontId="8" type="noConversion"/>
  </si>
  <si>
    <t>계</t>
    <phoneticPr fontId="8" type="noConversion"/>
  </si>
  <si>
    <t>(</t>
    <phoneticPr fontId="8" type="noConversion"/>
  </si>
  <si>
    <t>)</t>
    <phoneticPr fontId="8" type="noConversion"/>
  </si>
  <si>
    <t>:</t>
    <phoneticPr fontId="8" type="noConversion"/>
  </si>
  <si>
    <t>인</t>
    <phoneticPr fontId="8" type="noConversion"/>
  </si>
  <si>
    <t>+</t>
    <phoneticPr fontId="8" type="noConversion"/>
  </si>
  <si>
    <t>=</t>
    <phoneticPr fontId="8" type="noConversion"/>
  </si>
  <si>
    <t>÷</t>
    <phoneticPr fontId="8" type="noConversion"/>
  </si>
  <si>
    <t>×</t>
    <phoneticPr fontId="8" type="noConversion"/>
  </si>
  <si>
    <t>2.</t>
    <phoneticPr fontId="8" type="noConversion"/>
  </si>
  <si>
    <t>hr</t>
    <phoneticPr fontId="8" type="noConversion"/>
  </si>
  <si>
    <t>3.</t>
    <phoneticPr fontId="8" type="noConversion"/>
  </si>
  <si>
    <t>노무비</t>
    <phoneticPr fontId="8" type="noConversion"/>
  </si>
  <si>
    <t>재료비</t>
    <phoneticPr fontId="8" type="noConversion"/>
  </si>
  <si>
    <t>경  비</t>
    <phoneticPr fontId="8" type="noConversion"/>
  </si>
  <si>
    <t>비고</t>
    <phoneticPr fontId="8" type="noConversion"/>
  </si>
  <si>
    <r>
      <rPr>
        <b/>
        <sz val="20"/>
        <color indexed="8"/>
        <rFont val="돋움"/>
        <family val="3"/>
        <charset val="129"/>
      </rPr>
      <t>내역서총괄표</t>
    </r>
    <r>
      <rPr>
        <b/>
        <sz val="20"/>
        <color indexed="8"/>
        <rFont val="Arial"/>
        <family val="2"/>
      </rPr>
      <t xml:space="preserve">                                                     </t>
    </r>
    <phoneticPr fontId="5" type="noConversion"/>
  </si>
  <si>
    <r>
      <rPr>
        <b/>
        <sz val="20"/>
        <color indexed="8"/>
        <rFont val="돋움"/>
        <family val="3"/>
        <charset val="129"/>
      </rPr>
      <t>내역서</t>
    </r>
    <r>
      <rPr>
        <b/>
        <sz val="20"/>
        <color indexed="8"/>
        <rFont val="Arial"/>
        <family val="2"/>
      </rPr>
      <t xml:space="preserve">                                                              </t>
    </r>
    <phoneticPr fontId="5" type="noConversion"/>
  </si>
  <si>
    <t>교통안전시설물 정비공</t>
    <phoneticPr fontId="5" type="noConversion"/>
  </si>
  <si>
    <t>3) 잡재료비 :</t>
    <phoneticPr fontId="8" type="noConversion"/>
  </si>
  <si>
    <t>인력품의</t>
    <phoneticPr fontId="8" type="noConversion"/>
  </si>
  <si>
    <t>%</t>
    <phoneticPr fontId="8" type="noConversion"/>
  </si>
  <si>
    <t>1.</t>
    <phoneticPr fontId="8" type="noConversion"/>
  </si>
  <si>
    <t>경</t>
    <phoneticPr fontId="8" type="noConversion"/>
  </si>
  <si>
    <t>비</t>
    <phoneticPr fontId="8" type="noConversion"/>
  </si>
  <si>
    <t>소</t>
    <phoneticPr fontId="8" type="noConversion"/>
  </si>
  <si>
    <t>원/m3</t>
    <phoneticPr fontId="8" type="noConversion"/>
  </si>
  <si>
    <t>대형 브레이커 + 굴착기(0.6m3)</t>
    <phoneticPr fontId="8" type="noConversion"/>
  </si>
  <si>
    <t>Q =</t>
    <phoneticPr fontId="8" type="noConversion"/>
  </si>
  <si>
    <t>m3/hr</t>
    <phoneticPr fontId="8" type="noConversion"/>
  </si>
  <si>
    <t>작업보조</t>
    <phoneticPr fontId="8" type="noConversion"/>
  </si>
  <si>
    <t>보통인부 :</t>
    <phoneticPr fontId="8" type="noConversion"/>
  </si>
  <si>
    <t>본/hr</t>
    <phoneticPr fontId="8" type="noConversion"/>
  </si>
  <si>
    <t>원/본</t>
    <phoneticPr fontId="8" type="noConversion"/>
  </si>
  <si>
    <t>대형 브레이커 + 굴착기(0.2m3)</t>
    <phoneticPr fontId="8" type="noConversion"/>
  </si>
  <si>
    <t>치즐(0.6m3용)</t>
    <phoneticPr fontId="8" type="noConversion"/>
  </si>
  <si>
    <t>치즐(0.2m3용)</t>
    <phoneticPr fontId="8" type="noConversion"/>
  </si>
  <si>
    <t>대형 브레이커 + 굴착기(0.18m3)</t>
    <phoneticPr fontId="8" type="noConversion"/>
  </si>
  <si>
    <t>산    출    근    거</t>
    <phoneticPr fontId="8" type="noConversion"/>
  </si>
  <si>
    <t>합  계</t>
    <phoneticPr fontId="8" type="noConversion"/>
  </si>
  <si>
    <t>14. 무근 콘크리트 깨기(기계, 30cm 미만) [㎥]</t>
    <phoneticPr fontId="8" type="noConversion"/>
  </si>
  <si>
    <t>16. 무근 콘크리트 깨기(기계, 30cm 미만) [㎥]</t>
    <phoneticPr fontId="8" type="noConversion"/>
  </si>
  <si>
    <t>19. 철근 콘크리트 깨기(기계, 30cm 미만) [㎥]</t>
    <phoneticPr fontId="8" type="noConversion"/>
  </si>
  <si>
    <t>21. 아스콘 포장 깨기(기계) [㎥]</t>
    <phoneticPr fontId="8" type="noConversion"/>
  </si>
  <si>
    <t>22. 아스콘 포장 깨기(기계) [㎥]</t>
    <phoneticPr fontId="8" type="noConversion"/>
  </si>
  <si>
    <t>4.</t>
  </si>
  <si>
    <t>3.</t>
  </si>
  <si>
    <t>폐기물처리</t>
    <phoneticPr fontId="5" type="noConversion"/>
  </si>
  <si>
    <t>혼합건설폐기물처리+수집운반비</t>
    <phoneticPr fontId="5" type="noConversion"/>
  </si>
  <si>
    <t>459P</t>
    <phoneticPr fontId="8" type="noConversion"/>
  </si>
  <si>
    <t>수  량  산  출</t>
    <phoneticPr fontId="8" type="noConversion"/>
  </si>
  <si>
    <t>1. 보행자안전휀스 기초 수량 산출 [m3]</t>
    <phoneticPr fontId="8" type="noConversion"/>
  </si>
  <si>
    <t>:</t>
    <phoneticPr fontId="5" type="noConversion"/>
  </si>
  <si>
    <t>con'c</t>
    <phoneticPr fontId="5" type="noConversion"/>
  </si>
  <si>
    <t>1.</t>
    <phoneticPr fontId="8" type="noConversion"/>
  </si>
  <si>
    <t>터파기 물량</t>
    <phoneticPr fontId="8" type="noConversion"/>
  </si>
  <si>
    <t>(</t>
    <phoneticPr fontId="8" type="noConversion"/>
  </si>
  <si>
    <t>+</t>
    <phoneticPr fontId="8" type="noConversion"/>
  </si>
  <si>
    <t>+</t>
    <phoneticPr fontId="8" type="noConversion"/>
  </si>
  <si>
    <t>)</t>
    <phoneticPr fontId="8" type="noConversion"/>
  </si>
  <si>
    <t>(</t>
    <phoneticPr fontId="8" type="noConversion"/>
  </si>
  <si>
    <t>)</t>
    <phoneticPr fontId="8" type="noConversion"/>
  </si>
  <si>
    <t>×</t>
    <phoneticPr fontId="8" type="noConversion"/>
  </si>
  <si>
    <t>=</t>
    <phoneticPr fontId="8" type="noConversion"/>
  </si>
  <si>
    <t>기초 물량(무근콘크리트깨기, 콘크리트믹서, 현장비빔타설)</t>
    <phoneticPr fontId="8" type="noConversion"/>
  </si>
  <si>
    <t>되메우기</t>
    <phoneticPr fontId="8" type="noConversion"/>
  </si>
  <si>
    <t>-</t>
    <phoneticPr fontId="8" type="noConversion"/>
  </si>
  <si>
    <t>E</t>
    <phoneticPr fontId="8" type="noConversion"/>
  </si>
  <si>
    <t>Cm</t>
    <phoneticPr fontId="8" type="noConversion"/>
  </si>
  <si>
    <t>sec</t>
    <phoneticPr fontId="8" type="noConversion"/>
  </si>
  <si>
    <t>˚</t>
    <phoneticPr fontId="8" type="noConversion"/>
  </si>
  <si>
    <t>선회</t>
    <phoneticPr fontId="8" type="noConversion"/>
  </si>
  <si>
    <t>q</t>
    <phoneticPr fontId="8" type="noConversion"/>
  </si>
  <si>
    <t>K</t>
    <phoneticPr fontId="8" type="noConversion"/>
  </si>
  <si>
    <t>f</t>
    <phoneticPr fontId="8" type="noConversion"/>
  </si>
  <si>
    <t>Q</t>
    <phoneticPr fontId="8" type="noConversion"/>
  </si>
  <si>
    <t>─</t>
    <phoneticPr fontId="8" type="noConversion"/>
  </si>
  <si>
    <t>㎥</t>
    <phoneticPr fontId="8" type="noConversion"/>
  </si>
  <si>
    <t>/</t>
    <phoneticPr fontId="8" type="noConversion"/>
  </si>
  <si>
    <t>hr</t>
    <phoneticPr fontId="8" type="noConversion"/>
  </si>
  <si>
    <t>노무비</t>
    <phoneticPr fontId="8" type="noConversion"/>
  </si>
  <si>
    <t>:</t>
    <phoneticPr fontId="8" type="noConversion"/>
  </si>
  <si>
    <t>÷</t>
    <phoneticPr fontId="8" type="noConversion"/>
  </si>
  <si>
    <t>재료비</t>
    <phoneticPr fontId="8" type="noConversion"/>
  </si>
  <si>
    <t>경</t>
    <phoneticPr fontId="8" type="noConversion"/>
  </si>
  <si>
    <t>비</t>
    <phoneticPr fontId="8" type="noConversion"/>
  </si>
  <si>
    <t>소</t>
    <phoneticPr fontId="8" type="noConversion"/>
  </si>
  <si>
    <t>계</t>
    <phoneticPr fontId="8" type="noConversion"/>
  </si>
  <si>
    <t>:</t>
    <phoneticPr fontId="8" type="noConversion"/>
  </si>
  <si>
    <t>8. 되메우기(기계) [㎥]</t>
    <phoneticPr fontId="8" type="noConversion"/>
  </si>
  <si>
    <t>1.</t>
    <phoneticPr fontId="8" type="noConversion"/>
  </si>
  <si>
    <t>터파기</t>
    <phoneticPr fontId="8" type="noConversion"/>
  </si>
  <si>
    <t>굴삭기(타이어)</t>
    <phoneticPr fontId="8" type="noConversion"/>
  </si>
  <si>
    <t>100%</t>
    <phoneticPr fontId="8" type="noConversion"/>
  </si>
  <si>
    <t>(0.6㎥)</t>
    <phoneticPr fontId="8" type="noConversion"/>
  </si>
  <si>
    <t>406P</t>
    <phoneticPr fontId="8" type="noConversion"/>
  </si>
  <si>
    <t>q</t>
    <phoneticPr fontId="8" type="noConversion"/>
  </si>
  <si>
    <t>=</t>
    <phoneticPr fontId="8" type="noConversion"/>
  </si>
  <si>
    <t>f</t>
    <phoneticPr fontId="8" type="noConversion"/>
  </si>
  <si>
    <t>÷</t>
    <phoneticPr fontId="8" type="noConversion"/>
  </si>
  <si>
    <t>9.잔토상차(인력)[㎥]</t>
    <phoneticPr fontId="8" type="noConversion"/>
  </si>
  <si>
    <t>덤프트럭에 인력 적재 시(토사류) :</t>
    <phoneticPr fontId="8" type="noConversion"/>
  </si>
  <si>
    <t>분/m3</t>
    <phoneticPr fontId="8" type="noConversion"/>
  </si>
  <si>
    <t>427P</t>
    <phoneticPr fontId="8" type="noConversion"/>
  </si>
  <si>
    <t>(적재인부 5인 기준, 평지)</t>
    <phoneticPr fontId="8" type="noConversion"/>
  </si>
  <si>
    <t>보통인부</t>
    <phoneticPr fontId="8" type="noConversion"/>
  </si>
  <si>
    <t>:</t>
    <phoneticPr fontId="8" type="noConversion"/>
  </si>
  <si>
    <t>×</t>
    <phoneticPr fontId="8" type="noConversion"/>
  </si>
  <si>
    <t>인</t>
    <phoneticPr fontId="8" type="noConversion"/>
  </si>
  <si>
    <t>÷</t>
    <phoneticPr fontId="8" type="noConversion"/>
  </si>
  <si>
    <t>10. 잔토상차(기계0.18m3) [㎥]</t>
    <phoneticPr fontId="8" type="noConversion"/>
  </si>
  <si>
    <t>터파기</t>
    <phoneticPr fontId="8" type="noConversion"/>
  </si>
  <si>
    <t>굴삭기(타이어)</t>
    <phoneticPr fontId="8" type="noConversion"/>
  </si>
  <si>
    <t>100%</t>
    <phoneticPr fontId="8" type="noConversion"/>
  </si>
  <si>
    <t>(0.18㎥)</t>
    <phoneticPr fontId="8" type="noConversion"/>
  </si>
  <si>
    <t>406P</t>
    <phoneticPr fontId="8" type="noConversion"/>
  </si>
  <si>
    <t>11. 잔토상차(기계0.2m3) [㎥]</t>
    <phoneticPr fontId="8" type="noConversion"/>
  </si>
  <si>
    <t>(0.2㎥)</t>
    <phoneticPr fontId="8" type="noConversion"/>
  </si>
  <si>
    <t>12. 잔토상차(기계0.6m3) [㎥]</t>
    <phoneticPr fontId="8" type="noConversion"/>
  </si>
  <si>
    <t>(0.6㎥)</t>
    <phoneticPr fontId="8" type="noConversion"/>
  </si>
  <si>
    <t>13. 무근 콘크리트 깨기(소형기계, 인력) [㎥]</t>
    <phoneticPr fontId="8" type="noConversion"/>
  </si>
  <si>
    <t>인건비</t>
    <phoneticPr fontId="8" type="noConversion"/>
  </si>
  <si>
    <t>1186P</t>
    <phoneticPr fontId="8" type="noConversion"/>
  </si>
  <si>
    <t>1) 착암공</t>
    <phoneticPr fontId="8" type="noConversion"/>
  </si>
  <si>
    <t>2) 보통인부</t>
    <phoneticPr fontId="8" type="noConversion"/>
  </si>
  <si>
    <t>3) 잡재료비 :</t>
    <phoneticPr fontId="8" type="noConversion"/>
  </si>
  <si>
    <t>인력품의</t>
    <phoneticPr fontId="8" type="noConversion"/>
  </si>
  <si>
    <t>%</t>
    <phoneticPr fontId="8" type="noConversion"/>
  </si>
  <si>
    <t>2.</t>
    <phoneticPr fontId="8" type="noConversion"/>
  </si>
  <si>
    <t>기계사용료</t>
    <phoneticPr fontId="8" type="noConversion"/>
  </si>
  <si>
    <t>1) 소형브레이커</t>
    <phoneticPr fontId="8" type="noConversion"/>
  </si>
  <si>
    <r>
      <rPr>
        <sz val="10"/>
        <color indexed="8"/>
        <rFont val="돋움"/>
        <family val="3"/>
        <charset val="129"/>
      </rPr>
      <t>경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돋움"/>
        <family val="3"/>
        <charset val="129"/>
      </rPr>
      <t>비</t>
    </r>
    <phoneticPr fontId="8" type="noConversion"/>
  </si>
  <si>
    <r>
      <rPr>
        <sz val="10"/>
        <color indexed="8"/>
        <rFont val="돋움"/>
        <family val="3"/>
        <charset val="129"/>
      </rPr>
      <t>경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돋움"/>
        <family val="3"/>
        <charset val="129"/>
      </rPr>
      <t>비</t>
    </r>
    <phoneticPr fontId="8" type="noConversion"/>
  </si>
  <si>
    <t>2) 공기압축기</t>
    <phoneticPr fontId="8" type="noConversion"/>
  </si>
  <si>
    <t>:</t>
    <phoneticPr fontId="8" type="noConversion"/>
  </si>
  <si>
    <t>×</t>
    <phoneticPr fontId="8" type="noConversion"/>
  </si>
  <si>
    <t>hr</t>
    <phoneticPr fontId="8" type="noConversion"/>
  </si>
  <si>
    <t>=</t>
    <phoneticPr fontId="8" type="noConversion"/>
  </si>
  <si>
    <t>재료비</t>
    <phoneticPr fontId="8" type="noConversion"/>
  </si>
  <si>
    <t>:</t>
    <phoneticPr fontId="8" type="noConversion"/>
  </si>
  <si>
    <t>+</t>
    <phoneticPr fontId="8" type="noConversion"/>
  </si>
  <si>
    <t>경</t>
    <phoneticPr fontId="8" type="noConversion"/>
  </si>
  <si>
    <t>Q =</t>
    <phoneticPr fontId="8" type="noConversion"/>
  </si>
  <si>
    <t>m3/hr</t>
    <phoneticPr fontId="8" type="noConversion"/>
  </si>
  <si>
    <t>=</t>
    <phoneticPr fontId="8" type="noConversion"/>
  </si>
  <si>
    <t>원/m3</t>
    <phoneticPr fontId="8" type="noConversion"/>
  </si>
  <si>
    <t>÷</t>
    <phoneticPr fontId="8" type="noConversion"/>
  </si>
  <si>
    <t>원/m3</t>
    <phoneticPr fontId="8" type="noConversion"/>
  </si>
  <si>
    <r>
      <rPr>
        <sz val="10"/>
        <color indexed="8"/>
        <rFont val="돋움"/>
        <family val="3"/>
        <charset val="129"/>
      </rPr>
      <t>경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돋움"/>
        <family val="3"/>
        <charset val="129"/>
      </rPr>
      <t>비</t>
    </r>
    <phoneticPr fontId="8" type="noConversion"/>
  </si>
  <si>
    <t>÷</t>
    <phoneticPr fontId="8" type="noConversion"/>
  </si>
  <si>
    <t>경</t>
    <phoneticPr fontId="8" type="noConversion"/>
  </si>
  <si>
    <t>비</t>
    <phoneticPr fontId="8" type="noConversion"/>
  </si>
  <si>
    <t>소</t>
    <phoneticPr fontId="8" type="noConversion"/>
  </si>
  <si>
    <t>계</t>
    <phoneticPr fontId="8" type="noConversion"/>
  </si>
  <si>
    <t>15. 무근 콘크리트 깨기(기계, 30cm 미만) [㎥]</t>
    <phoneticPr fontId="8" type="noConversion"/>
  </si>
  <si>
    <t>대형 브레이커 + 굴착기(0.2m3)</t>
    <phoneticPr fontId="8" type="noConversion"/>
  </si>
  <si>
    <t>459P</t>
    <phoneticPr fontId="8" type="noConversion"/>
  </si>
  <si>
    <t>Q =</t>
    <phoneticPr fontId="8" type="noConversion"/>
  </si>
  <si>
    <t>m3/hr</t>
    <phoneticPr fontId="8" type="noConversion"/>
  </si>
  <si>
    <t>노무비</t>
    <phoneticPr fontId="8" type="noConversion"/>
  </si>
  <si>
    <r>
      <rPr>
        <sz val="10"/>
        <color indexed="8"/>
        <rFont val="돋움"/>
        <family val="3"/>
        <charset val="129"/>
      </rPr>
      <t>경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돋움"/>
        <family val="3"/>
        <charset val="129"/>
      </rPr>
      <t>비</t>
    </r>
    <phoneticPr fontId="8" type="noConversion"/>
  </si>
  <si>
    <t>2.</t>
    <phoneticPr fontId="8" type="noConversion"/>
  </si>
  <si>
    <t>작업보조</t>
    <phoneticPr fontId="8" type="noConversion"/>
  </si>
  <si>
    <t>보통인부 :</t>
    <phoneticPr fontId="8" type="noConversion"/>
  </si>
  <si>
    <t>인</t>
    <phoneticPr fontId="8" type="noConversion"/>
  </si>
  <si>
    <t>(</t>
    <phoneticPr fontId="8" type="noConversion"/>
  </si>
  <si>
    <t>17. 철근 콘크리트 깨기(소형기계, 인력) [㎥]</t>
    <phoneticPr fontId="8" type="noConversion"/>
  </si>
  <si>
    <t>2) 보통인부</t>
    <phoneticPr fontId="8" type="noConversion"/>
  </si>
  <si>
    <t>2.</t>
    <phoneticPr fontId="8" type="noConversion"/>
  </si>
  <si>
    <t>기계사용료</t>
    <phoneticPr fontId="8" type="noConversion"/>
  </si>
  <si>
    <t>1) 소형브레이커</t>
    <phoneticPr fontId="8" type="noConversion"/>
  </si>
  <si>
    <t>2) 공기압축기</t>
    <phoneticPr fontId="8" type="noConversion"/>
  </si>
  <si>
    <t>노무비</t>
    <phoneticPr fontId="8" type="noConversion"/>
  </si>
  <si>
    <t>+</t>
    <phoneticPr fontId="8" type="noConversion"/>
  </si>
  <si>
    <t>비</t>
    <phoneticPr fontId="8" type="noConversion"/>
  </si>
  <si>
    <t>소</t>
    <phoneticPr fontId="8" type="noConversion"/>
  </si>
  <si>
    <t>계</t>
    <phoneticPr fontId="8" type="noConversion"/>
  </si>
  <si>
    <t>18. 철근 콘크리트 깨기(기계, 30cm 미만) [㎥]</t>
    <phoneticPr fontId="8" type="noConversion"/>
  </si>
  <si>
    <t>1.</t>
    <phoneticPr fontId="8" type="noConversion"/>
  </si>
  <si>
    <t>대형 브레이커 + 굴착기(0.18m3)</t>
    <phoneticPr fontId="8" type="noConversion"/>
  </si>
  <si>
    <t>459P</t>
    <phoneticPr fontId="8" type="noConversion"/>
  </si>
  <si>
    <t>Q =</t>
    <phoneticPr fontId="8" type="noConversion"/>
  </si>
  <si>
    <t>m3/hr</t>
    <phoneticPr fontId="8" type="noConversion"/>
  </si>
  <si>
    <t>)</t>
    <phoneticPr fontId="8" type="noConversion"/>
  </si>
  <si>
    <t>3.</t>
    <phoneticPr fontId="8" type="noConversion"/>
  </si>
  <si>
    <t>치즐(0.2m3용)</t>
    <phoneticPr fontId="8" type="noConversion"/>
  </si>
  <si>
    <t>본/hr</t>
    <phoneticPr fontId="8" type="noConversion"/>
  </si>
  <si>
    <t>원/본</t>
    <phoneticPr fontId="8" type="noConversion"/>
  </si>
  <si>
    <t>본/hr</t>
    <phoneticPr fontId="8" type="noConversion"/>
  </si>
  <si>
    <t>원/본</t>
    <phoneticPr fontId="8" type="noConversion"/>
  </si>
  <si>
    <t>20. 철근 콘크리트 깨기(기계, 30cm 미만) [㎥]</t>
    <phoneticPr fontId="8" type="noConversion"/>
  </si>
  <si>
    <t>1.</t>
    <phoneticPr fontId="8" type="noConversion"/>
  </si>
  <si>
    <t>대형 브레이커 + 굴착기(0.6m3)</t>
    <phoneticPr fontId="8" type="noConversion"/>
  </si>
  <si>
    <t>459P</t>
    <phoneticPr fontId="8" type="noConversion"/>
  </si>
  <si>
    <t>(</t>
    <phoneticPr fontId="8" type="noConversion"/>
  </si>
  <si>
    <t>)</t>
    <phoneticPr fontId="8" type="noConversion"/>
  </si>
  <si>
    <t>원/m3</t>
    <phoneticPr fontId="8" type="noConversion"/>
  </si>
  <si>
    <t>3.</t>
    <phoneticPr fontId="8" type="noConversion"/>
  </si>
  <si>
    <t>치즐(0.6m3용)</t>
    <phoneticPr fontId="8" type="noConversion"/>
  </si>
  <si>
    <t>23. 아스콘 포장 깨기(기계, 30cm 미만) [㎥]</t>
    <phoneticPr fontId="8" type="noConversion"/>
  </si>
  <si>
    <t>대형 브레이커 + 굴착기(0.6m3)</t>
    <phoneticPr fontId="8" type="noConversion"/>
  </si>
  <si>
    <t>작업보조</t>
    <phoneticPr fontId="8" type="noConversion"/>
  </si>
  <si>
    <t>보통인부 :</t>
    <phoneticPr fontId="8" type="noConversion"/>
  </si>
  <si>
    <t>인</t>
    <phoneticPr fontId="8" type="noConversion"/>
  </si>
  <si>
    <t>24. 콘크리트 포장 절단(t=5~7.5cm) [m]</t>
    <phoneticPr fontId="8" type="noConversion"/>
  </si>
  <si>
    <t>577P</t>
    <phoneticPr fontId="8" type="noConversion"/>
  </si>
  <si>
    <t>1) 특별인부</t>
    <phoneticPr fontId="8" type="noConversion"/>
  </si>
  <si>
    <t>day</t>
    <phoneticPr fontId="8" type="noConversion"/>
  </si>
  <si>
    <t>m/day</t>
    <phoneticPr fontId="8" type="noConversion"/>
  </si>
  <si>
    <t>1) 커터</t>
    <phoneticPr fontId="8" type="noConversion"/>
  </si>
  <si>
    <t>hr/day</t>
    <phoneticPr fontId="8" type="noConversion"/>
  </si>
  <si>
    <t>원/m</t>
    <phoneticPr fontId="8" type="noConversion"/>
  </si>
  <si>
    <t>커터 블레이드(350mm, 3.2mm)</t>
    <phoneticPr fontId="8" type="noConversion"/>
  </si>
  <si>
    <t>소모자재</t>
    <phoneticPr fontId="8" type="noConversion"/>
  </si>
  <si>
    <t>개</t>
    <phoneticPr fontId="8" type="noConversion"/>
  </si>
  <si>
    <t>m</t>
    <phoneticPr fontId="8" type="noConversion"/>
  </si>
  <si>
    <t>2) 동력분무기</t>
    <phoneticPr fontId="8" type="noConversion"/>
  </si>
  <si>
    <t>대</t>
    <phoneticPr fontId="8" type="noConversion"/>
  </si>
  <si>
    <t>25. 아스콘 포장 절단(t=5~7.5cm) [m]</t>
    <phoneticPr fontId="8" type="noConversion"/>
  </si>
  <si>
    <t>26. 폐기물상차(기계0.18m3) [㎥]</t>
    <phoneticPr fontId="8" type="noConversion"/>
  </si>
  <si>
    <t>27. 폐기물상차(기계0.2m3) [㎥]</t>
    <phoneticPr fontId="8" type="noConversion"/>
  </si>
  <si>
    <t>28. 폐기물상차(기계0.6m3) [㎥]</t>
    <phoneticPr fontId="8" type="noConversion"/>
  </si>
  <si>
    <t>29. 철근 현장 가공 및 조립[간단, kg]</t>
    <phoneticPr fontId="8" type="noConversion"/>
  </si>
  <si>
    <t>263p</t>
    <phoneticPr fontId="8" type="noConversion"/>
  </si>
  <si>
    <t>1) 이형철근 (D = 13mm), 재료 할증 이형철근 3%</t>
    <phoneticPr fontId="8" type="noConversion"/>
  </si>
  <si>
    <t>ton</t>
    <phoneticPr fontId="8" type="noConversion"/>
  </si>
  <si>
    <t>원/ton</t>
    <phoneticPr fontId="8" type="noConversion"/>
  </si>
  <si>
    <t>kg/ton</t>
    <phoneticPr fontId="8" type="noConversion"/>
  </si>
  <si>
    <t>원/kg</t>
    <phoneticPr fontId="8" type="noConversion"/>
  </si>
  <si>
    <t>2) 결속선</t>
    <phoneticPr fontId="8" type="noConversion"/>
  </si>
  <si>
    <t>kg</t>
    <phoneticPr fontId="8" type="noConversion"/>
  </si>
  <si>
    <t>인건비(가공)</t>
    <phoneticPr fontId="8" type="noConversion"/>
  </si>
  <si>
    <t>철 근 공  :</t>
    <phoneticPr fontId="8" type="noConversion"/>
  </si>
  <si>
    <t>손     료 :</t>
    <phoneticPr fontId="8" type="noConversion"/>
  </si>
  <si>
    <t>인력품의 2%</t>
    <phoneticPr fontId="8" type="noConversion"/>
  </si>
  <si>
    <t>인건비(조립)</t>
    <phoneticPr fontId="8" type="noConversion"/>
  </si>
  <si>
    <t>30. 소규모 포장 복구[록크하드, T=5cm/m2]</t>
    <phoneticPr fontId="8" type="noConversion"/>
  </si>
  <si>
    <t>록크하드</t>
    <phoneticPr fontId="8" type="noConversion"/>
  </si>
  <si>
    <t>628p</t>
    <phoneticPr fontId="8" type="noConversion"/>
  </si>
  <si>
    <t>단위중량 : 2ton/m3</t>
    <phoneticPr fontId="8" type="noConversion"/>
  </si>
  <si>
    <t>m</t>
    <phoneticPr fontId="8" type="noConversion"/>
  </si>
  <si>
    <t>×</t>
    <phoneticPr fontId="8" type="noConversion"/>
  </si>
  <si>
    <t>ton/m3</t>
    <phoneticPr fontId="8" type="noConversion"/>
  </si>
  <si>
    <t>할증률 : 2%</t>
    <phoneticPr fontId="8" type="noConversion"/>
  </si>
  <si>
    <t>원</t>
    <phoneticPr fontId="8" type="noConversion"/>
  </si>
  <si>
    <t>다짐(플레이트 콤팩터 1.5ton) L = B = 1m, t = 0.05m</t>
    <phoneticPr fontId="8" type="noConversion"/>
  </si>
  <si>
    <t>m2/day</t>
    <phoneticPr fontId="8" type="noConversion"/>
  </si>
  <si>
    <t>m/hr</t>
    <phoneticPr fontId="8" type="noConversion"/>
  </si>
  <si>
    <t>원/m2</t>
    <phoneticPr fontId="8" type="noConversion"/>
  </si>
  <si>
    <t>포설(인력)</t>
    <phoneticPr fontId="8" type="noConversion"/>
  </si>
  <si>
    <t>포 장 공 :</t>
    <phoneticPr fontId="8" type="noConversion"/>
  </si>
  <si>
    <t>아스팔트 및 소모자재 운반, 공구 및 경장비 운반(2.5ton 트럭 2대)</t>
    <phoneticPr fontId="8" type="noConversion"/>
  </si>
  <si>
    <t>31. 콘크리트 비빔(0.2m3) [㎥]</t>
    <phoneticPr fontId="8" type="noConversion"/>
  </si>
  <si>
    <t>생산량</t>
    <phoneticPr fontId="8" type="noConversion"/>
  </si>
  <si>
    <t>콘크리트 믹서</t>
    <phoneticPr fontId="8" type="noConversion"/>
  </si>
  <si>
    <t>465P</t>
    <phoneticPr fontId="8" type="noConversion"/>
  </si>
  <si>
    <t>q</t>
    <phoneticPr fontId="8" type="noConversion"/>
  </si>
  <si>
    <t>=</t>
    <phoneticPr fontId="8" type="noConversion"/>
  </si>
  <si>
    <t>E</t>
    <phoneticPr fontId="8" type="noConversion"/>
  </si>
  <si>
    <t>×</t>
    <phoneticPr fontId="8" type="noConversion"/>
  </si>
  <si>
    <t>Q</t>
    <phoneticPr fontId="8" type="noConversion"/>
  </si>
  <si>
    <t>─</t>
    <phoneticPr fontId="8" type="noConversion"/>
  </si>
  <si>
    <t>㎥</t>
    <phoneticPr fontId="8" type="noConversion"/>
  </si>
  <si>
    <t>/</t>
    <phoneticPr fontId="8" type="noConversion"/>
  </si>
  <si>
    <t>hr</t>
    <phoneticPr fontId="8" type="noConversion"/>
  </si>
  <si>
    <t>노무비</t>
    <phoneticPr fontId="8" type="noConversion"/>
  </si>
  <si>
    <t>:</t>
    <phoneticPr fontId="8" type="noConversion"/>
  </si>
  <si>
    <t>÷</t>
    <phoneticPr fontId="8" type="noConversion"/>
  </si>
  <si>
    <t>재료비</t>
    <phoneticPr fontId="8" type="noConversion"/>
  </si>
  <si>
    <t>32. 콘크리트 비빔(0.45m3) [㎥]</t>
    <phoneticPr fontId="8" type="noConversion"/>
  </si>
  <si>
    <t>(0.45㎥)</t>
    <phoneticPr fontId="8" type="noConversion"/>
  </si>
  <si>
    <t>33.현장비빔타설(기계,소형구조물)[㎥]</t>
    <phoneticPr fontId="8" type="noConversion"/>
  </si>
  <si>
    <t>콘크리트 운반, 타설, 다짐 및 양생 준비, 기계비빔 10m3 내외)</t>
    <phoneticPr fontId="8" type="noConversion"/>
  </si>
  <si>
    <t>251P</t>
    <phoneticPr fontId="8" type="noConversion"/>
  </si>
  <si>
    <t>시멘트</t>
    <phoneticPr fontId="8" type="noConversion"/>
  </si>
  <si>
    <t>(40kg入(포장품)</t>
    <phoneticPr fontId="8" type="noConversion"/>
  </si>
  <si>
    <t>모래(단위중량 :</t>
    <phoneticPr fontId="8" type="noConversion"/>
  </si>
  <si>
    <t>ton/m3)</t>
    <phoneticPr fontId="8" type="noConversion"/>
  </si>
  <si>
    <t>(강모래)</t>
    <phoneticPr fontId="8" type="noConversion"/>
  </si>
  <si>
    <t>kg/m3</t>
    <phoneticPr fontId="8" type="noConversion"/>
  </si>
  <si>
    <t>굵은골재(단중 :</t>
    <phoneticPr fontId="8" type="noConversion"/>
  </si>
  <si>
    <t>콘크리트공</t>
    <phoneticPr fontId="8" type="noConversion"/>
  </si>
  <si>
    <t>보통인부</t>
    <phoneticPr fontId="8" type="noConversion"/>
  </si>
  <si>
    <t>합</t>
    <phoneticPr fontId="8" type="noConversion"/>
  </si>
  <si>
    <t>34.모르타르 배합(체가름 제외)[㎥]</t>
    <phoneticPr fontId="8" type="noConversion"/>
  </si>
  <si>
    <t>모르타르 배합(배합비 1:5, 비빔제외)</t>
    <phoneticPr fontId="8" type="noConversion"/>
  </si>
  <si>
    <t>1158P</t>
    <phoneticPr fontId="8" type="noConversion"/>
  </si>
  <si>
    <t>m3</t>
    <phoneticPr fontId="8" type="noConversion"/>
  </si>
  <si>
    <r>
      <t>35.모르타르 바름(t=2cm, 1회)[</t>
    </r>
    <r>
      <rPr>
        <b/>
        <sz val="9"/>
        <color indexed="8"/>
        <rFont val="맑은 고딕"/>
        <family val="3"/>
        <charset val="129"/>
      </rPr>
      <t>㎡</t>
    </r>
    <r>
      <rPr>
        <b/>
        <sz val="9"/>
        <color indexed="8"/>
        <rFont val="맑은 고딕"/>
        <family val="3"/>
        <charset val="129"/>
      </rPr>
      <t>]</t>
    </r>
    <phoneticPr fontId="8" type="noConversion"/>
  </si>
  <si>
    <t>모르타르 바름(바탕 청소, 페이스트 바르기, 모라타르 비빔 및 바름, 쇠갈퀴 긁기, 고름질, 쇠흙손 마감 포함)</t>
    <phoneticPr fontId="8" type="noConversion"/>
  </si>
  <si>
    <t>미장공</t>
    <phoneticPr fontId="8" type="noConversion"/>
  </si>
  <si>
    <t>인/m2</t>
    <phoneticPr fontId="8" type="noConversion"/>
  </si>
  <si>
    <t>손     료</t>
    <phoneticPr fontId="8" type="noConversion"/>
  </si>
  <si>
    <r>
      <t>36.합판거푸집(1회)[</t>
    </r>
    <r>
      <rPr>
        <b/>
        <sz val="9"/>
        <color indexed="8"/>
        <rFont val="맑은 고딕"/>
        <family val="3"/>
        <charset val="129"/>
      </rPr>
      <t>㎡</t>
    </r>
    <r>
      <rPr>
        <b/>
        <sz val="9"/>
        <color indexed="8"/>
        <rFont val="맑은 고딕"/>
        <family val="3"/>
        <charset val="129"/>
      </rPr>
      <t>]</t>
    </r>
    <phoneticPr fontId="8" type="noConversion"/>
  </si>
  <si>
    <t>1~2회 : 제물치장(제물치장 콘크리트)</t>
    <phoneticPr fontId="8" type="noConversion"/>
  </si>
  <si>
    <t>266P</t>
    <phoneticPr fontId="8" type="noConversion"/>
  </si>
  <si>
    <t>합판</t>
    <phoneticPr fontId="8" type="noConversion"/>
  </si>
  <si>
    <t>각재(외송)</t>
    <phoneticPr fontId="8" type="noConversion"/>
  </si>
  <si>
    <t>주자재비의 4%</t>
    <phoneticPr fontId="8" type="noConversion"/>
  </si>
  <si>
    <t>형틀목공</t>
    <phoneticPr fontId="8" type="noConversion"/>
  </si>
  <si>
    <t>기계경비</t>
    <phoneticPr fontId="8" type="noConversion"/>
  </si>
  <si>
    <t>인력품의 1%</t>
    <phoneticPr fontId="8" type="noConversion"/>
  </si>
  <si>
    <r>
      <t>37.합판거푸집(4회)[</t>
    </r>
    <r>
      <rPr>
        <b/>
        <sz val="9"/>
        <color indexed="8"/>
        <rFont val="맑은 고딕"/>
        <family val="3"/>
        <charset val="129"/>
      </rPr>
      <t>㎡</t>
    </r>
    <r>
      <rPr>
        <b/>
        <sz val="9"/>
        <color indexed="8"/>
        <rFont val="맑은 고딕"/>
        <family val="3"/>
        <charset val="129"/>
      </rPr>
      <t>]</t>
    </r>
    <phoneticPr fontId="8" type="noConversion"/>
  </si>
  <si>
    <t>4회 : 보통(측구, 수로, 우물통 등 비교적 간단 벽체 구조, 교량 및 건축 슬래브)</t>
    <phoneticPr fontId="8" type="noConversion"/>
  </si>
  <si>
    <t>1회 주자재비의 38%</t>
    <phoneticPr fontId="8" type="noConversion"/>
  </si>
  <si>
    <t>주자재비의 9%</t>
    <phoneticPr fontId="8" type="noConversion"/>
  </si>
  <si>
    <r>
      <t>38.합판거푸집(6회)[</t>
    </r>
    <r>
      <rPr>
        <b/>
        <sz val="9"/>
        <color indexed="8"/>
        <rFont val="맑은 고딕"/>
        <family val="3"/>
        <charset val="129"/>
      </rPr>
      <t>㎡</t>
    </r>
    <r>
      <rPr>
        <b/>
        <sz val="9"/>
        <color indexed="8"/>
        <rFont val="맑은 고딕"/>
        <family val="3"/>
        <charset val="129"/>
      </rPr>
      <t>]</t>
    </r>
    <phoneticPr fontId="8" type="noConversion"/>
  </si>
  <si>
    <t>6회 : 간단(수문 또는 관의 기초, 호안 및 보호공의 기초 등 간단한 구조)</t>
    <phoneticPr fontId="8" type="noConversion"/>
  </si>
  <si>
    <t>1회 주자재비의 32.7%</t>
    <phoneticPr fontId="8" type="noConversion"/>
  </si>
  <si>
    <t>주자재비의 11%</t>
    <phoneticPr fontId="8" type="noConversion"/>
  </si>
  <si>
    <r>
      <t>39.잡철물설치(간단,비계공미포함)[ton</t>
    </r>
    <r>
      <rPr>
        <b/>
        <sz val="9"/>
        <color indexed="8"/>
        <rFont val="맑은 고딕"/>
        <family val="3"/>
        <charset val="129"/>
      </rPr>
      <t>]</t>
    </r>
    <phoneticPr fontId="8" type="noConversion"/>
  </si>
  <si>
    <t>1155P</t>
    <phoneticPr fontId="8" type="noConversion"/>
  </si>
  <si>
    <t>용접봉</t>
    <phoneticPr fontId="8" type="noConversion"/>
  </si>
  <si>
    <t>산소</t>
    <phoneticPr fontId="8" type="noConversion"/>
  </si>
  <si>
    <t>ℓ</t>
    <phoneticPr fontId="8" type="noConversion"/>
  </si>
  <si>
    <t>아세틸렌</t>
    <phoneticPr fontId="8" type="noConversion"/>
  </si>
  <si>
    <t>kg</t>
    <phoneticPr fontId="8" type="noConversion"/>
  </si>
  <si>
    <t>2.</t>
    <phoneticPr fontId="8" type="noConversion"/>
  </si>
  <si>
    <t>인건비</t>
    <phoneticPr fontId="8" type="noConversion"/>
  </si>
  <si>
    <t>철공</t>
    <phoneticPr fontId="8" type="noConversion"/>
  </si>
  <si>
    <t>용접공</t>
    <phoneticPr fontId="8" type="noConversion"/>
  </si>
  <si>
    <t>특별인부</t>
    <phoneticPr fontId="8" type="noConversion"/>
  </si>
  <si>
    <t>기타</t>
    <phoneticPr fontId="8" type="noConversion"/>
  </si>
  <si>
    <t>용접기손료</t>
    <phoneticPr fontId="8" type="noConversion"/>
  </si>
  <si>
    <t>시간</t>
    <phoneticPr fontId="8" type="noConversion"/>
  </si>
  <si>
    <t>전력소요량</t>
    <phoneticPr fontId="8" type="noConversion"/>
  </si>
  <si>
    <t>kwh</t>
    <phoneticPr fontId="8" type="noConversion"/>
  </si>
  <si>
    <r>
      <t>40.잡철물설치(간단,비계공포함)[ton</t>
    </r>
    <r>
      <rPr>
        <b/>
        <sz val="9"/>
        <color indexed="8"/>
        <rFont val="맑은 고딕"/>
        <family val="3"/>
        <charset val="129"/>
      </rPr>
      <t>]</t>
    </r>
    <phoneticPr fontId="8" type="noConversion"/>
  </si>
  <si>
    <t>철공</t>
    <phoneticPr fontId="8" type="noConversion"/>
  </si>
  <si>
    <t>비계공</t>
    <phoneticPr fontId="8" type="noConversion"/>
  </si>
  <si>
    <r>
      <t>41.물탱크 급수(5,500L)[m3/hr</t>
    </r>
    <r>
      <rPr>
        <b/>
        <sz val="9"/>
        <color indexed="8"/>
        <rFont val="맑은 고딕"/>
        <family val="3"/>
        <charset val="129"/>
      </rPr>
      <t>]</t>
    </r>
    <phoneticPr fontId="8" type="noConversion"/>
  </si>
  <si>
    <t>L</t>
    <phoneticPr fontId="8" type="noConversion"/>
  </si>
  <si>
    <t>km</t>
    <phoneticPr fontId="8" type="noConversion"/>
  </si>
  <si>
    <t>V1</t>
    <phoneticPr fontId="8" type="noConversion"/>
  </si>
  <si>
    <t>V2</t>
    <phoneticPr fontId="8" type="noConversion"/>
  </si>
  <si>
    <t>789P</t>
    <phoneticPr fontId="8" type="noConversion"/>
  </si>
  <si>
    <t>t1</t>
    <phoneticPr fontId="8" type="noConversion"/>
  </si>
  <si>
    <t>t3</t>
    <phoneticPr fontId="8" type="noConversion"/>
  </si>
  <si>
    <t>t2</t>
    <phoneticPr fontId="8" type="noConversion"/>
  </si>
  <si>
    <t>42.칠공사(철재면, 녹막이페인트칠+유성페인트붓칠2회)[m2]</t>
    <phoneticPr fontId="8" type="noConversion"/>
  </si>
  <si>
    <t>11-2-4,6</t>
    <phoneticPr fontId="8" type="noConversion"/>
  </si>
  <si>
    <t>녹막이페인트칠</t>
    <phoneticPr fontId="8" type="noConversion"/>
  </si>
  <si>
    <t>1176P</t>
    <phoneticPr fontId="8" type="noConversion"/>
  </si>
  <si>
    <t>녹막이페인트</t>
    <phoneticPr fontId="8" type="noConversion"/>
  </si>
  <si>
    <t>시너</t>
    <phoneticPr fontId="8" type="noConversion"/>
  </si>
  <si>
    <t>잡재료비(주재료비의 3%)</t>
    <phoneticPr fontId="8" type="noConversion"/>
  </si>
  <si>
    <t>도장공</t>
    <phoneticPr fontId="8" type="noConversion"/>
  </si>
  <si>
    <t>유성페인트붓칠</t>
    <phoneticPr fontId="8" type="noConversion"/>
  </si>
  <si>
    <t>조합페인트(흙색)</t>
    <phoneticPr fontId="8" type="noConversion"/>
  </si>
  <si>
    <t>잡재료비(주재료비의 4%)</t>
    <phoneticPr fontId="8" type="noConversion"/>
  </si>
  <si>
    <r>
      <t>43.흙색칠공사(콘크리트</t>
    </r>
    <r>
      <rPr>
        <b/>
        <sz val="9"/>
        <color indexed="8"/>
        <rFont val="굴림체"/>
        <family val="3"/>
      </rPr>
      <t>ㆍ</t>
    </r>
    <r>
      <rPr>
        <b/>
        <sz val="9"/>
        <color indexed="8"/>
        <rFont val="맑은 고딕"/>
        <family val="3"/>
        <charset val="129"/>
      </rPr>
      <t>모르타르면바탕만들기+유성페인트붓칠</t>
    </r>
    <r>
      <rPr>
        <b/>
        <sz val="9"/>
        <color indexed="8"/>
        <rFont val="맑은 고딕"/>
        <family val="3"/>
        <charset val="129"/>
      </rPr>
      <t>2회</t>
    </r>
    <r>
      <rPr>
        <b/>
        <sz val="9"/>
        <color indexed="8"/>
        <rFont val="맑은 고딕"/>
        <family val="3"/>
        <charset val="129"/>
      </rPr>
      <t>)[m2]</t>
    </r>
    <phoneticPr fontId="8" type="noConversion"/>
  </si>
  <si>
    <t>콘크리트,모르타르바탕만들기</t>
    <phoneticPr fontId="8" type="noConversion"/>
  </si>
  <si>
    <t>1172P</t>
    <phoneticPr fontId="8" type="noConversion"/>
  </si>
  <si>
    <t>퍼티</t>
    <phoneticPr fontId="8" type="noConversion"/>
  </si>
  <si>
    <t>연마지</t>
    <phoneticPr fontId="8" type="noConversion"/>
  </si>
  <si>
    <t>매</t>
    <phoneticPr fontId="8" type="noConversion"/>
  </si>
  <si>
    <r>
      <t>44.황색칠공사(콘크리트</t>
    </r>
    <r>
      <rPr>
        <b/>
        <sz val="9"/>
        <color indexed="8"/>
        <rFont val="굴림체"/>
        <family val="3"/>
      </rPr>
      <t>ㆍ</t>
    </r>
    <r>
      <rPr>
        <b/>
        <sz val="9"/>
        <color indexed="8"/>
        <rFont val="맑은 고딕"/>
        <family val="3"/>
        <charset val="129"/>
      </rPr>
      <t>모르타르면바탕만들기+유성페인트붓칠</t>
    </r>
    <r>
      <rPr>
        <b/>
        <sz val="9"/>
        <color indexed="8"/>
        <rFont val="맑은 고딕"/>
        <family val="3"/>
        <charset val="129"/>
      </rPr>
      <t>2회</t>
    </r>
    <r>
      <rPr>
        <b/>
        <sz val="9"/>
        <color indexed="8"/>
        <rFont val="맑은 고딕"/>
        <family val="3"/>
        <charset val="129"/>
      </rPr>
      <t>)[m2]</t>
    </r>
    <phoneticPr fontId="8" type="noConversion"/>
  </si>
  <si>
    <t>조합페인트(황색)</t>
    <phoneticPr fontId="8" type="noConversion"/>
  </si>
  <si>
    <t>m3</t>
    <phoneticPr fontId="5" type="noConversion"/>
  </si>
  <si>
    <t>퇴직공제부금비</t>
    <phoneticPr fontId="5" type="noConversion"/>
  </si>
  <si>
    <t>긴급 정비공</t>
  </si>
  <si>
    <t>부대공</t>
  </si>
  <si>
    <t>고재처리</t>
  </si>
  <si>
    <t>합 계</t>
  </si>
  <si>
    <t>차선규제봉 설치(주간)</t>
  </si>
  <si>
    <t>Φ200*80*750</t>
  </si>
  <si>
    <t>차선규제봉 설치(야간)</t>
  </si>
  <si>
    <t>갓길봉 설치(주간)</t>
  </si>
  <si>
    <t>1,100*120*50</t>
  </si>
  <si>
    <t>갓길봉 설치(야간)</t>
  </si>
  <si>
    <t>차선분리대(연속형) 설치(주간)</t>
  </si>
  <si>
    <t>2000*950*200</t>
  </si>
  <si>
    <t>경간</t>
  </si>
  <si>
    <t>차선분리대(연속형) 설치(야간)</t>
  </si>
  <si>
    <t>시선유도표지 설치(주간)</t>
  </si>
  <si>
    <t>Φ150</t>
  </si>
  <si>
    <t>시선유도표지 설치(야간)</t>
  </si>
  <si>
    <t>시선유도표지 설치(주간,토공용)</t>
  </si>
  <si>
    <t>Φ100</t>
  </si>
  <si>
    <t>시선유도표지 설치(야간,토공용)</t>
  </si>
  <si>
    <t>시선유도표지 설치(주간,가드레일용)</t>
  </si>
  <si>
    <t>시선유도표지 설치(야간,가드레일용)</t>
  </si>
  <si>
    <t>시선유도표지 설치(주간,옹벽용)</t>
  </si>
  <si>
    <t>시선유도표지 설치(야간,옹벽용)</t>
  </si>
  <si>
    <t>시선유도표지 설치(주간,쏠라)</t>
  </si>
  <si>
    <t>Φ110</t>
  </si>
  <si>
    <t>시선유도표지 설치(야간,쏠라)</t>
  </si>
  <si>
    <t>갈매기표지판 설치(주간)</t>
  </si>
  <si>
    <t>2*450*600</t>
  </si>
  <si>
    <t>갈매기표지판 설치(야간)</t>
  </si>
  <si>
    <t>450*600(쏠라)</t>
  </si>
  <si>
    <t>도로표지판 재설치(주간)</t>
  </si>
  <si>
    <t>2방향예고</t>
  </si>
  <si>
    <t>도로표지판 재설치(야간)</t>
  </si>
  <si>
    <t>2방향표지</t>
  </si>
  <si>
    <t>3방항예고</t>
  </si>
  <si>
    <t>3방향예고</t>
  </si>
  <si>
    <t>3방향표지</t>
  </si>
  <si>
    <t>가드케이블 지주 설치(주간)</t>
  </si>
  <si>
    <t>Φ139.8*4.5*2200</t>
  </si>
  <si>
    <t>가드케이블 지주 설치(야간)</t>
  </si>
  <si>
    <t>가드케이블 1선당 인장(주간)</t>
  </si>
  <si>
    <t>1경간=7m</t>
  </si>
  <si>
    <t>가드케이블 1선당 인장(야간)</t>
  </si>
  <si>
    <t>가드케이블 S형브라켓 보수(주간)</t>
  </si>
  <si>
    <t>75*585*7t</t>
  </si>
  <si>
    <t>가드케이블 S형브라켓 보수(야간)</t>
  </si>
  <si>
    <t>가드케이블 스플라이스 보수(주간)</t>
  </si>
  <si>
    <t>25*1,070</t>
  </si>
  <si>
    <t>가드케이블 스플라이스 보수(야간)</t>
  </si>
  <si>
    <t>가드레일지주설치(주간)</t>
  </si>
  <si>
    <t>가드레일지주설치(야간)</t>
  </si>
  <si>
    <t>Φ139.8*4.5*2200mm</t>
  </si>
  <si>
    <t>중분대용지주설치(주간)</t>
  </si>
  <si>
    <t>Φ139.8*4.5*700</t>
  </si>
  <si>
    <t>중분대용지주설치(야간)</t>
  </si>
  <si>
    <t>가드레일판설치(주간,2way)</t>
  </si>
  <si>
    <t>4*350*4,330</t>
  </si>
  <si>
    <t>m</t>
  </si>
  <si>
    <t>가드레일판설치(야간,2way)</t>
  </si>
  <si>
    <t>라운드레일설치(주간)</t>
  </si>
  <si>
    <t>300*3.2*300</t>
  </si>
  <si>
    <t>라운드레일설치(야간)</t>
  </si>
  <si>
    <t>가드레일판설치(주간,3way)</t>
  </si>
  <si>
    <t>3.2*460*4,330</t>
  </si>
  <si>
    <t>가드레일판설치(야간,3way)</t>
  </si>
  <si>
    <t>중분대용판설치(주간,2way)</t>
  </si>
  <si>
    <t>4.0t*350*4,330</t>
  </si>
  <si>
    <t>중분대용판설치(야간,2way)</t>
  </si>
  <si>
    <t>중분대용판설치(주간,3way)</t>
  </si>
  <si>
    <t>3.2t*460*4,330</t>
  </si>
  <si>
    <t>중분대용판설치(야간,3way)</t>
  </si>
  <si>
    <t>차광망 설치(주간)</t>
  </si>
  <si>
    <t>3,720*584*1.6t</t>
  </si>
  <si>
    <t>차광망 설치(야간)</t>
  </si>
  <si>
    <t>방음벽 앵커볼트 설치(주간)</t>
  </si>
  <si>
    <t>M25*700</t>
  </si>
  <si>
    <t>방음벽 앵커볼트 설치(야간)</t>
  </si>
  <si>
    <t>방음벽 지주설치(간격2m,주간,3m이하)</t>
  </si>
  <si>
    <t>125*125*6.5*9</t>
  </si>
  <si>
    <t>방음벽 지주설치(간격2m,야간,3m이하)</t>
  </si>
  <si>
    <t>방음판 설치(H=3m이하,주간,A=1m2이하)</t>
  </si>
  <si>
    <t>1,960*500*95T</t>
  </si>
  <si>
    <t>방음판 설치(H=3m이하,야간,A=1m2이하)</t>
  </si>
  <si>
    <t>방음판 설치(H=3m이하,주간,A=2m2이하)</t>
  </si>
  <si>
    <t>3,960*500*95t</t>
  </si>
  <si>
    <t>방음판 설치(H=3m이하,야간,A=2m2이하)</t>
  </si>
  <si>
    <t>조류충돌방지필름 설치</t>
  </si>
  <si>
    <t>1식</t>
  </si>
  <si>
    <t>m2</t>
  </si>
  <si>
    <t>빛공해방지필름 설치</t>
  </si>
  <si>
    <t>경계석(화강암) 설치(주간,직선)</t>
  </si>
  <si>
    <t>200*250*1,000</t>
  </si>
  <si>
    <t>경계석(화강암) 설치(야간,직선)</t>
  </si>
  <si>
    <t>경계석(화강암) 설치(주간,곡선)</t>
  </si>
  <si>
    <t>경계석(화강암) 설치(야간,곡선)</t>
  </si>
  <si>
    <t>경계석(콘크리트) 설치(주간,직선)</t>
  </si>
  <si>
    <t>180*210*300*1,000</t>
  </si>
  <si>
    <t>경계석(콘크리트) 설치(야간,직선)</t>
  </si>
  <si>
    <t>보도블럭 소규모보수(주간,소형고압블록)</t>
  </si>
  <si>
    <t>I2형(200*100*80)</t>
  </si>
  <si>
    <t>보도블럭 소규모보수(야간,소형고압블록)</t>
  </si>
  <si>
    <t>점자블록소규모보수(주간)</t>
  </si>
  <si>
    <t>300*300*60</t>
  </si>
  <si>
    <t>점자블록소규모보수(야간)</t>
  </si>
  <si>
    <t>충격방지통 설치(중형, 주간)</t>
  </si>
  <si>
    <t>600*900*900</t>
  </si>
  <si>
    <t>충격방지통 설치(중형, 야간)</t>
  </si>
  <si>
    <t>충격방지통 설치(대형, 주간)</t>
  </si>
  <si>
    <t>1,000*1,200*900</t>
  </si>
  <si>
    <t>충격방지통 설치(대형, 야간)</t>
  </si>
  <si>
    <t>PE방호벽설치(주간)</t>
  </si>
  <si>
    <t>2,000*600*900</t>
  </si>
  <si>
    <t>PE방호벽설치(야간)</t>
  </si>
  <si>
    <t>볼라드설치</t>
  </si>
  <si>
    <t>매립식,I형</t>
  </si>
  <si>
    <t>매립식,U형</t>
  </si>
  <si>
    <t>콘크리트중앙분리대 재설치(주간,PC)</t>
  </si>
  <si>
    <t>H=0.81m, W=2.44ton</t>
  </si>
  <si>
    <t>콘크리트중앙분리대 재설치(야간,PC)</t>
  </si>
  <si>
    <t>H=1.27m, W=3.59ton</t>
  </si>
  <si>
    <t>콘크리트면 미장 보수(주간)</t>
  </si>
  <si>
    <t>t=2cm</t>
  </si>
  <si>
    <t>콘크리트면 미장 보수(야간)</t>
  </si>
  <si>
    <t>콘크리트면붓칠하기(주간)</t>
  </si>
  <si>
    <t>흙색+황색</t>
  </si>
  <si>
    <t>콘크리트면붓칠하기(야간)</t>
  </si>
  <si>
    <t>시설물긴급철거A(주간)</t>
  </si>
  <si>
    <t>특별인부(0.5인)+보통인부(0.5인)</t>
  </si>
  <si>
    <t>시설물긴급철거A(야간)</t>
  </si>
  <si>
    <t>시설물긴급철거B(주간)</t>
  </si>
  <si>
    <t>화물트럭 1ton(0.5대)</t>
  </si>
  <si>
    <t>시설물긴급철거B(야간)</t>
  </si>
  <si>
    <t>시설물긴급철거C(주간)</t>
  </si>
  <si>
    <t>트럭탑재형크레인 3ton(0.5대)</t>
  </si>
  <si>
    <t>시설물긴급철거C(야간)</t>
  </si>
  <si>
    <t>시설물긴급철거D(주간)</t>
  </si>
  <si>
    <t>고소작업차 3ton(0.5대)</t>
  </si>
  <si>
    <t>시설물긴급철거D(야간)</t>
  </si>
  <si>
    <t>시설물긴급철거E(주간)</t>
  </si>
  <si>
    <t>굴삭기 0.2m3(0.5대)</t>
  </si>
  <si>
    <t>시설물긴급철거E(야간)</t>
  </si>
  <si>
    <t>신호수(주간)</t>
  </si>
  <si>
    <t>신호수(야간)</t>
  </si>
  <si>
    <t>방호차(주간)</t>
  </si>
  <si>
    <t>1ton, 1대 기준</t>
  </si>
  <si>
    <t>일</t>
  </si>
  <si>
    <t>방호차(야간)</t>
  </si>
  <si>
    <t>재생재료</t>
  </si>
  <si>
    <t>고비철(알루미늄)</t>
  </si>
  <si>
    <t>kg</t>
  </si>
  <si>
    <t>중량철B(3≤t&lt;6)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</si>
</sst>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7" formatCode="#,##0.0########"/>
    <numFmt numFmtId="178" formatCode="#,##0.#######"/>
    <numFmt numFmtId="223" formatCode="#&quot;-&quot;#&quot;-&quot;#"/>
    <numFmt numFmtId="224" formatCode="#&quot;-&quot;#&quot;-&quot;##"/>
    <numFmt numFmtId="225" formatCode="#&quot;-&quot;##&quot;-&quot;#"/>
    <numFmt numFmtId="228" formatCode="&quot;일위&quot;###&quot;호표&quot;"/>
  </numFmts>
  <fonts count="27" x14ac:knownFonts="1">
    <font>
      <sz val="10"/>
      <color indexed="8"/>
      <name val="Arial"/>
      <family val="2"/>
    </font>
    <font>
      <b/>
      <sz val="20"/>
      <color indexed="8"/>
      <name val="Arial"/>
      <family val="2"/>
    </font>
    <font>
      <b/>
      <sz val="9"/>
      <color indexed="8"/>
      <name val="굴림체"/>
      <family val="3"/>
    </font>
    <font>
      <sz val="9"/>
      <color indexed="8"/>
      <name val="굴림체"/>
      <family val="3"/>
    </font>
    <font>
      <sz val="10"/>
      <color indexed="8"/>
      <name val="Arial"/>
      <family val="2"/>
    </font>
    <font>
      <sz val="8"/>
      <name val="돋움"/>
      <family val="3"/>
      <charset val="129"/>
    </font>
    <font>
      <sz val="10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sz val="8"/>
      <name val="바탕체"/>
      <family val="1"/>
      <charset val="129"/>
    </font>
    <font>
      <sz val="11"/>
      <name val="돋움"/>
      <family val="3"/>
      <charset val="129"/>
    </font>
    <font>
      <b/>
      <sz val="9"/>
      <color indexed="8"/>
      <name val="맑은 고딕"/>
      <family val="3"/>
      <charset val="129"/>
    </font>
    <font>
      <sz val="11"/>
      <name val="돋움체"/>
      <family val="3"/>
      <charset val="129"/>
    </font>
    <font>
      <sz val="9"/>
      <name val="굴림체"/>
      <family val="3"/>
    </font>
    <font>
      <sz val="14"/>
      <color indexed="8"/>
      <name val="Arial"/>
      <family val="2"/>
    </font>
    <font>
      <b/>
      <sz val="9"/>
      <color indexed="8"/>
      <name val="굴림체"/>
      <family val="3"/>
      <charset val="129"/>
    </font>
    <font>
      <b/>
      <sz val="9"/>
      <name val="굴림체"/>
      <family val="3"/>
    </font>
    <font>
      <b/>
      <sz val="9"/>
      <name val="굴림체"/>
      <family val="3"/>
    </font>
    <font>
      <sz val="11"/>
      <color rgb="FF000000"/>
      <name val="돋움"/>
      <family val="3"/>
      <charset val="129"/>
    </font>
    <font>
      <sz val="9"/>
      <color rgb="FFFF0000"/>
      <name val="굴림체"/>
      <family val="3"/>
    </font>
    <font>
      <sz val="9"/>
      <color theme="1"/>
      <name val="굴림체"/>
      <family val="3"/>
    </font>
    <font>
      <sz val="9"/>
      <color theme="1"/>
      <name val="맑은 고딕"/>
      <family val="3"/>
      <charset val="129"/>
    </font>
    <font>
      <sz val="10"/>
      <color theme="1"/>
      <name val="Arial"/>
      <family val="2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9"/>
      <color theme="1"/>
      <name val="굴림체"/>
      <family val="3"/>
    </font>
    <font>
      <b/>
      <sz val="2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41" fontId="9" fillId="0" borderId="0" applyFont="0" applyFill="0" applyBorder="0" applyAlignment="0" applyProtection="0"/>
    <xf numFmtId="0" fontId="17" fillId="0" borderId="0"/>
    <xf numFmtId="0" fontId="9" fillId="0" borderId="0">
      <alignment vertical="center"/>
    </xf>
    <xf numFmtId="0" fontId="4" fillId="0" borderId="0"/>
  </cellStyleXfs>
  <cellXfs count="216">
    <xf numFmtId="0" fontId="0" fillId="0" borderId="0" xfId="0"/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2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horizontal="left" vertical="center"/>
    </xf>
    <xf numFmtId="3" fontId="0" fillId="0" borderId="0" xfId="0" applyNumberFormat="1"/>
    <xf numFmtId="3" fontId="3" fillId="0" borderId="7" xfId="0" applyNumberFormat="1" applyFont="1" applyBorder="1" applyAlignment="1">
      <alignment horizontal="left" vertical="center"/>
    </xf>
    <xf numFmtId="3" fontId="3" fillId="0" borderId="19" xfId="0" applyNumberFormat="1" applyFont="1" applyBorder="1" applyAlignment="1">
      <alignment vertical="center"/>
    </xf>
    <xf numFmtId="3" fontId="18" fillId="0" borderId="20" xfId="0" applyNumberFormat="1" applyFont="1" applyBorder="1" applyAlignment="1">
      <alignment vertical="center"/>
    </xf>
    <xf numFmtId="3" fontId="19" fillId="0" borderId="6" xfId="0" applyNumberFormat="1" applyFont="1" applyBorder="1" applyAlignment="1">
      <alignment horizontal="center" vertical="center"/>
    </xf>
    <xf numFmtId="3" fontId="19" fillId="0" borderId="6" xfId="0" applyNumberFormat="1" applyFont="1" applyBorder="1" applyAlignment="1">
      <alignment vertical="center"/>
    </xf>
    <xf numFmtId="3" fontId="0" fillId="0" borderId="21" xfId="0" applyNumberFormat="1" applyBorder="1"/>
    <xf numFmtId="10" fontId="0" fillId="0" borderId="0" xfId="0" applyNumberFormat="1"/>
    <xf numFmtId="3" fontId="18" fillId="0" borderId="22" xfId="0" applyNumberFormat="1" applyFont="1" applyBorder="1" applyAlignment="1">
      <alignment horizontal="left" vertical="center"/>
    </xf>
    <xf numFmtId="3" fontId="19" fillId="0" borderId="20" xfId="0" applyNumberFormat="1" applyFont="1" applyBorder="1" applyAlignment="1">
      <alignment vertical="center"/>
    </xf>
    <xf numFmtId="3" fontId="19" fillId="0" borderId="24" xfId="0" applyNumberFormat="1" applyFont="1" applyBorder="1" applyAlignment="1">
      <alignment horizontal="left" vertical="center"/>
    </xf>
    <xf numFmtId="3" fontId="19" fillId="0" borderId="23" xfId="0" applyNumberFormat="1" applyFont="1" applyBorder="1" applyAlignment="1">
      <alignment horizontal="right" vertical="center"/>
    </xf>
    <xf numFmtId="0" fontId="21" fillId="0" borderId="0" xfId="0" applyFont="1"/>
    <xf numFmtId="178" fontId="22" fillId="0" borderId="1" xfId="0" applyNumberFormat="1" applyFont="1" applyBorder="1" applyAlignment="1">
      <alignment horizontal="center" vertical="center"/>
    </xf>
    <xf numFmtId="178" fontId="22" fillId="0" borderId="8" xfId="0" applyNumberFormat="1" applyFont="1" applyBorder="1" applyAlignment="1">
      <alignment horizontal="left" vertical="center"/>
    </xf>
    <xf numFmtId="178" fontId="23" fillId="0" borderId="0" xfId="0" applyNumberFormat="1" applyFont="1" applyBorder="1" applyAlignment="1">
      <alignment vertical="center"/>
    </xf>
    <xf numFmtId="3" fontId="22" fillId="0" borderId="30" xfId="0" applyNumberFormat="1" applyFont="1" applyBorder="1" applyAlignment="1">
      <alignment horizontal="right" vertical="center"/>
    </xf>
    <xf numFmtId="3" fontId="22" fillId="0" borderId="13" xfId="0" applyNumberFormat="1" applyFont="1" applyBorder="1" applyAlignment="1">
      <alignment horizontal="right" vertical="center"/>
    </xf>
    <xf numFmtId="178" fontId="23" fillId="0" borderId="8" xfId="0" applyNumberFormat="1" applyFont="1" applyBorder="1" applyAlignment="1">
      <alignment vertical="center"/>
    </xf>
    <xf numFmtId="178" fontId="23" fillId="0" borderId="30" xfId="0" applyNumberFormat="1" applyFont="1" applyBorder="1" applyAlignment="1">
      <alignment horizontal="right" vertical="center"/>
    </xf>
    <xf numFmtId="178" fontId="23" fillId="0" borderId="13" xfId="0" applyNumberFormat="1" applyFont="1" applyBorder="1" applyAlignment="1">
      <alignment horizontal="right" vertical="center"/>
    </xf>
    <xf numFmtId="0" fontId="24" fillId="0" borderId="0" xfId="0" applyFont="1" applyBorder="1"/>
    <xf numFmtId="178" fontId="19" fillId="0" borderId="0" xfId="0" applyNumberFormat="1" applyFont="1" applyBorder="1" applyAlignment="1">
      <alignment vertical="center"/>
    </xf>
    <xf numFmtId="178" fontId="19" fillId="0" borderId="8" xfId="0" applyNumberFormat="1" applyFont="1" applyBorder="1" applyAlignment="1">
      <alignment vertical="center"/>
    </xf>
    <xf numFmtId="178" fontId="19" fillId="0" borderId="16" xfId="0" applyNumberFormat="1" applyFont="1" applyBorder="1" applyAlignment="1">
      <alignment vertical="center"/>
    </xf>
    <xf numFmtId="178" fontId="19" fillId="0" borderId="17" xfId="0" applyNumberFormat="1" applyFont="1" applyBorder="1" applyAlignment="1">
      <alignment vertical="center"/>
    </xf>
    <xf numFmtId="0" fontId="21" fillId="0" borderId="0" xfId="0" applyFont="1" applyBorder="1"/>
    <xf numFmtId="0" fontId="24" fillId="0" borderId="17" xfId="0" applyFont="1" applyBorder="1"/>
    <xf numFmtId="0" fontId="24" fillId="0" borderId="30" xfId="0" applyFont="1" applyBorder="1"/>
    <xf numFmtId="0" fontId="24" fillId="0" borderId="14" xfId="0" applyFont="1" applyBorder="1"/>
    <xf numFmtId="178" fontId="20" fillId="0" borderId="0" xfId="0" applyNumberFormat="1" applyFont="1" applyBorder="1" applyAlignment="1">
      <alignment vertical="center"/>
    </xf>
    <xf numFmtId="178" fontId="23" fillId="0" borderId="14" xfId="0" applyNumberFormat="1" applyFont="1" applyBorder="1" applyAlignment="1">
      <alignment horizontal="right" vertical="center"/>
    </xf>
    <xf numFmtId="3" fontId="19" fillId="0" borderId="36" xfId="0" applyNumberFormat="1" applyFont="1" applyBorder="1" applyAlignment="1">
      <alignment horizontal="right" vertical="center"/>
    </xf>
    <xf numFmtId="3" fontId="19" fillId="0" borderId="9" xfId="0" applyNumberFormat="1" applyFont="1" applyBorder="1" applyAlignment="1">
      <alignment horizontal="left" vertical="center"/>
    </xf>
    <xf numFmtId="3" fontId="3" fillId="0" borderId="37" xfId="0" applyNumberFormat="1" applyFont="1" applyBorder="1" applyAlignment="1">
      <alignment horizontal="left" vertical="center"/>
    </xf>
    <xf numFmtId="3" fontId="19" fillId="0" borderId="30" xfId="0" applyNumberFormat="1" applyFont="1" applyBorder="1" applyAlignment="1">
      <alignment vertical="center"/>
    </xf>
    <xf numFmtId="3" fontId="19" fillId="0" borderId="15" xfId="0" applyNumberFormat="1" applyFont="1" applyBorder="1" applyAlignment="1">
      <alignment vertical="center"/>
    </xf>
    <xf numFmtId="3" fontId="23" fillId="0" borderId="30" xfId="0" applyNumberFormat="1" applyFont="1" applyBorder="1" applyAlignment="1">
      <alignment horizontal="right" vertical="center"/>
    </xf>
    <xf numFmtId="178" fontId="22" fillId="2" borderId="8" xfId="0" applyNumberFormat="1" applyFont="1" applyFill="1" applyBorder="1" applyAlignment="1">
      <alignment horizontal="left" vertical="center"/>
    </xf>
    <xf numFmtId="178" fontId="23" fillId="2" borderId="0" xfId="0" applyNumberFormat="1" applyFont="1" applyFill="1" applyBorder="1" applyAlignment="1">
      <alignment vertical="center"/>
    </xf>
    <xf numFmtId="3" fontId="22" fillId="2" borderId="30" xfId="0" applyNumberFormat="1" applyFont="1" applyFill="1" applyBorder="1" applyAlignment="1">
      <alignment horizontal="right" vertical="center"/>
    </xf>
    <xf numFmtId="3" fontId="22" fillId="2" borderId="13" xfId="0" applyNumberFormat="1" applyFont="1" applyFill="1" applyBorder="1" applyAlignment="1">
      <alignment horizontal="right" vertical="center"/>
    </xf>
    <xf numFmtId="178" fontId="22" fillId="2" borderId="8" xfId="0" applyNumberFormat="1" applyFont="1" applyFill="1" applyBorder="1" applyAlignment="1">
      <alignment vertical="center"/>
    </xf>
    <xf numFmtId="178" fontId="22" fillId="2" borderId="0" xfId="0" applyNumberFormat="1" applyFont="1" applyFill="1" applyBorder="1" applyAlignment="1">
      <alignment vertical="center"/>
    </xf>
    <xf numFmtId="3" fontId="23" fillId="0" borderId="13" xfId="0" applyNumberFormat="1" applyFont="1" applyBorder="1" applyAlignment="1">
      <alignment horizontal="right" vertical="center"/>
    </xf>
    <xf numFmtId="0" fontId="24" fillId="0" borderId="0" xfId="0" applyFont="1"/>
    <xf numFmtId="3" fontId="22" fillId="2" borderId="33" xfId="0" applyNumberFormat="1" applyFont="1" applyFill="1" applyBorder="1" applyAlignment="1">
      <alignment horizontal="right" vertical="center"/>
    </xf>
    <xf numFmtId="178" fontId="22" fillId="0" borderId="27" xfId="0" applyNumberFormat="1" applyFont="1" applyBorder="1" applyAlignment="1">
      <alignment horizontal="center" vertical="center"/>
    </xf>
    <xf numFmtId="3" fontId="22" fillId="0" borderId="14" xfId="0" applyNumberFormat="1" applyFont="1" applyBorder="1" applyAlignment="1">
      <alignment horizontal="right" vertical="center"/>
    </xf>
    <xf numFmtId="0" fontId="21" fillId="0" borderId="14" xfId="0" applyFont="1" applyBorder="1"/>
    <xf numFmtId="3" fontId="19" fillId="0" borderId="40" xfId="0" applyNumberFormat="1" applyFont="1" applyBorder="1" applyAlignment="1">
      <alignment horizontal="left" vertical="center"/>
    </xf>
    <xf numFmtId="3" fontId="19" fillId="0" borderId="20" xfId="0" applyNumberFormat="1" applyFont="1" applyBorder="1" applyAlignment="1">
      <alignment vertical="center"/>
    </xf>
    <xf numFmtId="3" fontId="19" fillId="0" borderId="6" xfId="0" applyNumberFormat="1" applyFont="1" applyBorder="1" applyAlignment="1">
      <alignment vertical="center"/>
    </xf>
    <xf numFmtId="3" fontId="19" fillId="0" borderId="6" xfId="0" applyNumberFormat="1" applyFont="1" applyBorder="1" applyAlignment="1">
      <alignment horizontal="right" vertical="center"/>
    </xf>
    <xf numFmtId="3" fontId="3" fillId="0" borderId="26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78" fontId="23" fillId="0" borderId="30" xfId="0" applyNumberFormat="1" applyFont="1" applyBorder="1" applyAlignment="1">
      <alignment horizontal="right" vertical="center" shrinkToFit="1"/>
    </xf>
    <xf numFmtId="3" fontId="22" fillId="2" borderId="30" xfId="0" applyNumberFormat="1" applyFont="1" applyFill="1" applyBorder="1" applyAlignment="1">
      <alignment horizontal="right" vertical="center" shrinkToFit="1"/>
    </xf>
    <xf numFmtId="3" fontId="22" fillId="2" borderId="13" xfId="0" applyNumberFormat="1" applyFont="1" applyFill="1" applyBorder="1" applyAlignment="1">
      <alignment horizontal="right" vertical="center" shrinkToFit="1"/>
    </xf>
    <xf numFmtId="3" fontId="3" fillId="0" borderId="23" xfId="0" applyNumberFormat="1" applyFont="1" applyBorder="1" applyAlignment="1">
      <alignment vertical="center"/>
    </xf>
    <xf numFmtId="3" fontId="25" fillId="0" borderId="36" xfId="0" applyNumberFormat="1" applyFont="1" applyBorder="1" applyAlignment="1">
      <alignment horizontal="right" vertical="center"/>
    </xf>
    <xf numFmtId="3" fontId="25" fillId="0" borderId="36" xfId="0" applyNumberFormat="1" applyFont="1" applyBorder="1" applyAlignment="1">
      <alignment vertical="center"/>
    </xf>
    <xf numFmtId="3" fontId="12" fillId="0" borderId="19" xfId="0" applyNumberFormat="1" applyFont="1" applyBorder="1" applyAlignment="1">
      <alignment horizontal="right" vertical="center"/>
    </xf>
    <xf numFmtId="3" fontId="19" fillId="0" borderId="42" xfId="0" applyNumberFormat="1" applyFont="1" applyBorder="1" applyAlignment="1">
      <alignment horizontal="center" vertical="center"/>
    </xf>
    <xf numFmtId="3" fontId="3" fillId="0" borderId="35" xfId="0" applyNumberFormat="1" applyFont="1" applyBorder="1" applyAlignment="1">
      <alignment horizontal="left" vertical="center"/>
    </xf>
    <xf numFmtId="3" fontId="18" fillId="0" borderId="25" xfId="0" applyNumberFormat="1" applyFont="1" applyBorder="1" applyAlignment="1">
      <alignment vertical="center"/>
    </xf>
    <xf numFmtId="3" fontId="18" fillId="0" borderId="34" xfId="0" applyNumberFormat="1" applyFont="1" applyBorder="1" applyAlignment="1">
      <alignment horizontal="left" vertical="center"/>
    </xf>
    <xf numFmtId="3" fontId="25" fillId="0" borderId="43" xfId="0" applyNumberFormat="1" applyFont="1" applyBorder="1" applyAlignment="1">
      <alignment horizontal="right" vertical="center"/>
    </xf>
    <xf numFmtId="3" fontId="19" fillId="0" borderId="12" xfId="0" applyNumberFormat="1" applyFont="1" applyBorder="1" applyAlignment="1">
      <alignment horizontal="left" vertical="center"/>
    </xf>
    <xf numFmtId="178" fontId="23" fillId="0" borderId="16" xfId="0" applyNumberFormat="1" applyFont="1" applyBorder="1" applyAlignment="1">
      <alignment vertical="center"/>
    </xf>
    <xf numFmtId="178" fontId="23" fillId="0" borderId="17" xfId="0" applyNumberFormat="1" applyFont="1" applyBorder="1" applyAlignment="1">
      <alignment vertical="center"/>
    </xf>
    <xf numFmtId="3" fontId="22" fillId="0" borderId="25" xfId="0" applyNumberFormat="1" applyFont="1" applyBorder="1" applyAlignment="1">
      <alignment horizontal="right" vertical="center"/>
    </xf>
    <xf numFmtId="3" fontId="22" fillId="0" borderId="31" xfId="0" applyNumberFormat="1" applyFont="1" applyBorder="1" applyAlignment="1">
      <alignment horizontal="right" vertical="center"/>
    </xf>
    <xf numFmtId="3" fontId="22" fillId="0" borderId="34" xfId="0" applyNumberFormat="1" applyFont="1" applyBorder="1" applyAlignment="1">
      <alignment horizontal="right" vertical="center"/>
    </xf>
    <xf numFmtId="178" fontId="22" fillId="2" borderId="10" xfId="0" applyNumberFormat="1" applyFont="1" applyFill="1" applyBorder="1" applyAlignment="1">
      <alignment horizontal="left" vertical="center"/>
    </xf>
    <xf numFmtId="178" fontId="23" fillId="2" borderId="11" xfId="0" applyNumberFormat="1" applyFont="1" applyFill="1" applyBorder="1" applyAlignment="1">
      <alignment vertical="center"/>
    </xf>
    <xf numFmtId="3" fontId="22" fillId="2" borderId="32" xfId="0" applyNumberFormat="1" applyFont="1" applyFill="1" applyBorder="1" applyAlignment="1">
      <alignment horizontal="right" vertical="center" shrinkToFit="1"/>
    </xf>
    <xf numFmtId="3" fontId="22" fillId="2" borderId="33" xfId="0" applyNumberFormat="1" applyFont="1" applyFill="1" applyBorder="1" applyAlignment="1">
      <alignment horizontal="right" vertical="center" shrinkToFit="1"/>
    </xf>
    <xf numFmtId="178" fontId="3" fillId="0" borderId="0" xfId="0" applyNumberFormat="1" applyFont="1" applyBorder="1" applyAlignment="1">
      <alignment vertical="center"/>
    </xf>
    <xf numFmtId="3" fontId="25" fillId="0" borderId="15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center" vertical="center"/>
    </xf>
    <xf numFmtId="178" fontId="23" fillId="0" borderId="25" xfId="0" applyNumberFormat="1" applyFont="1" applyBorder="1" applyAlignment="1">
      <alignment horizontal="right" vertical="center" shrinkToFit="1"/>
    </xf>
    <xf numFmtId="178" fontId="23" fillId="0" borderId="25" xfId="0" applyNumberFormat="1" applyFont="1" applyBorder="1" applyAlignment="1">
      <alignment horizontal="right" vertical="center"/>
    </xf>
    <xf numFmtId="178" fontId="23" fillId="0" borderId="31" xfId="0" applyNumberFormat="1" applyFont="1" applyBorder="1" applyAlignment="1">
      <alignment horizontal="right" vertical="center"/>
    </xf>
    <xf numFmtId="178" fontId="23" fillId="0" borderId="34" xfId="0" applyNumberFormat="1" applyFont="1" applyBorder="1" applyAlignment="1">
      <alignment horizontal="right" vertical="center"/>
    </xf>
    <xf numFmtId="3" fontId="22" fillId="2" borderId="32" xfId="0" applyNumberFormat="1" applyFont="1" applyFill="1" applyBorder="1" applyAlignment="1">
      <alignment horizontal="right" vertical="center"/>
    </xf>
    <xf numFmtId="178" fontId="22" fillId="0" borderId="16" xfId="0" applyNumberFormat="1" applyFont="1" applyBorder="1" applyAlignment="1">
      <alignment horizontal="left" vertical="center"/>
    </xf>
    <xf numFmtId="223" fontId="22" fillId="2" borderId="14" xfId="0" applyNumberFormat="1" applyFont="1" applyFill="1" applyBorder="1" applyAlignment="1">
      <alignment horizontal="right" vertical="center"/>
    </xf>
    <xf numFmtId="223" fontId="22" fillId="2" borderId="14" xfId="0" applyNumberFormat="1" applyFont="1" applyFill="1" applyBorder="1" applyAlignment="1">
      <alignment horizontal="center" vertical="center"/>
    </xf>
    <xf numFmtId="224" fontId="22" fillId="2" borderId="14" xfId="0" applyNumberFormat="1" applyFont="1" applyFill="1" applyBorder="1" applyAlignment="1">
      <alignment horizontal="center" vertical="center"/>
    </xf>
    <xf numFmtId="223" fontId="22" fillId="2" borderId="35" xfId="0" applyNumberFormat="1" applyFont="1" applyFill="1" applyBorder="1" applyAlignment="1">
      <alignment horizontal="right" vertical="center"/>
    </xf>
    <xf numFmtId="225" fontId="22" fillId="2" borderId="14" xfId="0" applyNumberFormat="1" applyFont="1" applyFill="1" applyBorder="1" applyAlignment="1">
      <alignment horizontal="center" vertical="center"/>
    </xf>
    <xf numFmtId="223" fontId="22" fillId="2" borderId="35" xfId="0" applyNumberFormat="1" applyFont="1" applyFill="1" applyBorder="1" applyAlignment="1">
      <alignment horizontal="center" vertical="center"/>
    </xf>
    <xf numFmtId="224" fontId="22" fillId="2" borderId="35" xfId="0" applyNumberFormat="1" applyFont="1" applyFill="1" applyBorder="1" applyAlignment="1">
      <alignment horizontal="center" vertical="center"/>
    </xf>
    <xf numFmtId="0" fontId="13" fillId="0" borderId="0" xfId="0" applyFont="1"/>
    <xf numFmtId="3" fontId="25" fillId="0" borderId="30" xfId="0" applyNumberFormat="1" applyFont="1" applyBorder="1" applyAlignment="1">
      <alignment vertical="center"/>
    </xf>
    <xf numFmtId="178" fontId="23" fillId="3" borderId="8" xfId="0" applyNumberFormat="1" applyFont="1" applyFill="1" applyBorder="1" applyAlignment="1">
      <alignment vertical="center"/>
    </xf>
    <xf numFmtId="178" fontId="23" fillId="3" borderId="0" xfId="0" applyNumberFormat="1" applyFont="1" applyFill="1" applyBorder="1" applyAlignment="1">
      <alignment vertical="center"/>
    </xf>
    <xf numFmtId="3" fontId="22" fillId="3" borderId="30" xfId="0" applyNumberFormat="1" applyFont="1" applyFill="1" applyBorder="1" applyAlignment="1">
      <alignment horizontal="right" vertical="center"/>
    </xf>
    <xf numFmtId="3" fontId="22" fillId="3" borderId="13" xfId="0" applyNumberFormat="1" applyFont="1" applyFill="1" applyBorder="1" applyAlignment="1">
      <alignment horizontal="right" vertical="center"/>
    </xf>
    <xf numFmtId="3" fontId="22" fillId="3" borderId="14" xfId="0" applyNumberFormat="1" applyFont="1" applyFill="1" applyBorder="1" applyAlignment="1">
      <alignment horizontal="right" vertical="center"/>
    </xf>
    <xf numFmtId="178" fontId="22" fillId="3" borderId="8" xfId="0" applyNumberFormat="1" applyFont="1" applyFill="1" applyBorder="1" applyAlignment="1">
      <alignment vertical="center"/>
    </xf>
    <xf numFmtId="178" fontId="22" fillId="3" borderId="0" xfId="0" applyNumberFormat="1" applyFont="1" applyFill="1" applyBorder="1" applyAlignment="1">
      <alignment vertical="center"/>
    </xf>
    <xf numFmtId="223" fontId="22" fillId="3" borderId="14" xfId="0" applyNumberFormat="1" applyFont="1" applyFill="1" applyBorder="1" applyAlignment="1">
      <alignment horizontal="center" vertical="center"/>
    </xf>
    <xf numFmtId="178" fontId="23" fillId="3" borderId="30" xfId="0" applyNumberFormat="1" applyFont="1" applyFill="1" applyBorder="1" applyAlignment="1">
      <alignment horizontal="right" vertical="center"/>
    </xf>
    <xf numFmtId="178" fontId="23" fillId="3" borderId="13" xfId="0" applyNumberFormat="1" applyFont="1" applyFill="1" applyBorder="1" applyAlignment="1">
      <alignment horizontal="right" vertical="center"/>
    </xf>
    <xf numFmtId="178" fontId="23" fillId="3" borderId="14" xfId="0" applyNumberFormat="1" applyFont="1" applyFill="1" applyBorder="1" applyAlignment="1">
      <alignment horizontal="right" vertical="center"/>
    </xf>
    <xf numFmtId="0" fontId="24" fillId="3" borderId="0" xfId="0" applyFont="1" applyFill="1" applyBorder="1"/>
    <xf numFmtId="178" fontId="22" fillId="3" borderId="8" xfId="0" applyNumberFormat="1" applyFont="1" applyFill="1" applyBorder="1" applyAlignment="1">
      <alignment horizontal="left" vertical="center"/>
    </xf>
    <xf numFmtId="178" fontId="23" fillId="3" borderId="16" xfId="0" applyNumberFormat="1" applyFont="1" applyFill="1" applyBorder="1" applyAlignment="1">
      <alignment vertical="center"/>
    </xf>
    <xf numFmtId="178" fontId="23" fillId="3" borderId="17" xfId="0" applyNumberFormat="1" applyFont="1" applyFill="1" applyBorder="1" applyAlignment="1">
      <alignment vertical="center"/>
    </xf>
    <xf numFmtId="3" fontId="22" fillId="3" borderId="25" xfId="0" applyNumberFormat="1" applyFont="1" applyFill="1" applyBorder="1" applyAlignment="1">
      <alignment horizontal="right" vertical="center"/>
    </xf>
    <xf numFmtId="3" fontId="22" fillId="3" borderId="31" xfId="0" applyNumberFormat="1" applyFont="1" applyFill="1" applyBorder="1" applyAlignment="1">
      <alignment horizontal="right" vertical="center"/>
    </xf>
    <xf numFmtId="3" fontId="22" fillId="3" borderId="34" xfId="0" applyNumberFormat="1" applyFont="1" applyFill="1" applyBorder="1" applyAlignment="1">
      <alignment horizontal="right" vertical="center"/>
    </xf>
    <xf numFmtId="178" fontId="22" fillId="3" borderId="10" xfId="0" applyNumberFormat="1" applyFont="1" applyFill="1" applyBorder="1" applyAlignment="1">
      <alignment horizontal="left" vertical="center"/>
    </xf>
    <xf numFmtId="178" fontId="23" fillId="3" borderId="11" xfId="0" applyNumberFormat="1" applyFont="1" applyFill="1" applyBorder="1" applyAlignment="1">
      <alignment vertical="center"/>
    </xf>
    <xf numFmtId="3" fontId="22" fillId="3" borderId="32" xfId="0" applyNumberFormat="1" applyFont="1" applyFill="1" applyBorder="1" applyAlignment="1">
      <alignment horizontal="right" vertical="center"/>
    </xf>
    <xf numFmtId="3" fontId="22" fillId="3" borderId="33" xfId="0" applyNumberFormat="1" applyFont="1" applyFill="1" applyBorder="1" applyAlignment="1">
      <alignment horizontal="right" vertical="center"/>
    </xf>
    <xf numFmtId="178" fontId="22" fillId="0" borderId="29" xfId="0" applyNumberFormat="1" applyFont="1" applyBorder="1" applyAlignment="1">
      <alignment horizontal="center" vertical="center"/>
    </xf>
    <xf numFmtId="3" fontId="23" fillId="3" borderId="14" xfId="0" applyNumberFormat="1" applyFont="1" applyFill="1" applyBorder="1" applyAlignment="1">
      <alignment horizontal="right" vertical="center"/>
    </xf>
    <xf numFmtId="3" fontId="23" fillId="3" borderId="30" xfId="0" applyNumberFormat="1" applyFont="1" applyFill="1" applyBorder="1" applyAlignment="1">
      <alignment horizontal="right" vertical="center"/>
    </xf>
    <xf numFmtId="223" fontId="22" fillId="3" borderId="35" xfId="0" applyNumberFormat="1" applyFont="1" applyFill="1" applyBorder="1" applyAlignment="1">
      <alignment horizontal="center" vertical="center"/>
    </xf>
    <xf numFmtId="3" fontId="3" fillId="0" borderId="23" xfId="0" applyNumberFormat="1" applyFont="1" applyBorder="1" applyAlignment="1">
      <alignment horizontal="right" vertical="center"/>
    </xf>
    <xf numFmtId="3" fontId="19" fillId="0" borderId="20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3" fontId="3" fillId="0" borderId="26" xfId="0" applyNumberFormat="1" applyFont="1" applyBorder="1" applyAlignment="1">
      <alignment vertical="center"/>
    </xf>
    <xf numFmtId="228" fontId="19" fillId="0" borderId="40" xfId="0" applyNumberFormat="1" applyFont="1" applyBorder="1" applyAlignment="1">
      <alignment horizontal="left" vertical="center"/>
    </xf>
    <xf numFmtId="3" fontId="2" fillId="0" borderId="26" xfId="0" applyNumberFormat="1" applyFont="1" applyBorder="1" applyAlignment="1">
      <alignment horizontal="center" vertical="center"/>
    </xf>
    <xf numFmtId="228" fontId="19" fillId="0" borderId="40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3" fontId="12" fillId="0" borderId="20" xfId="0" applyNumberFormat="1" applyFont="1" applyBorder="1" applyAlignment="1">
      <alignment horizontal="right" vertical="center"/>
    </xf>
    <xf numFmtId="3" fontId="15" fillId="0" borderId="26" xfId="0" applyNumberFormat="1" applyFont="1" applyBorder="1" applyAlignment="1">
      <alignment horizontal="center" vertical="center"/>
    </xf>
    <xf numFmtId="3" fontId="25" fillId="0" borderId="23" xfId="0" applyNumberFormat="1" applyFont="1" applyBorder="1" applyAlignment="1">
      <alignment horizontal="right" vertical="center"/>
    </xf>
    <xf numFmtId="3" fontId="14" fillId="0" borderId="23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3" fontId="3" fillId="0" borderId="23" xfId="0" applyNumberFormat="1" applyFont="1" applyBorder="1" applyAlignment="1">
      <alignment horizontal="right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left" vertical="center"/>
    </xf>
    <xf numFmtId="3" fontId="19" fillId="0" borderId="19" xfId="0" applyNumberFormat="1" applyFont="1" applyBorder="1" applyAlignment="1">
      <alignment horizontal="center" vertical="center"/>
    </xf>
    <xf numFmtId="3" fontId="19" fillId="0" borderId="20" xfId="0" applyNumberFormat="1" applyFont="1" applyBorder="1" applyAlignment="1">
      <alignment horizontal="center" vertical="center"/>
    </xf>
    <xf numFmtId="3" fontId="12" fillId="0" borderId="20" xfId="0" applyNumberFormat="1" applyFont="1" applyBorder="1" applyAlignment="1">
      <alignment horizontal="right" vertical="center"/>
    </xf>
    <xf numFmtId="3" fontId="12" fillId="0" borderId="19" xfId="0" applyNumberFormat="1" applyFont="1" applyBorder="1" applyAlignment="1">
      <alignment horizontal="right" vertical="center"/>
    </xf>
    <xf numFmtId="3" fontId="3" fillId="0" borderId="30" xfId="0" applyNumberFormat="1" applyFont="1" applyBorder="1" applyAlignment="1">
      <alignment horizontal="right" vertical="center"/>
    </xf>
    <xf numFmtId="3" fontId="3" fillId="0" borderId="20" xfId="0" applyNumberFormat="1" applyFont="1" applyBorder="1" applyAlignment="1">
      <alignment horizontal="right" vertical="center"/>
    </xf>
    <xf numFmtId="3" fontId="3" fillId="0" borderId="45" xfId="0" applyNumberFormat="1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3" fontId="19" fillId="0" borderId="19" xfId="0" applyNumberFormat="1" applyFont="1" applyBorder="1" applyAlignment="1">
      <alignment horizontal="right" vertical="center"/>
    </xf>
    <xf numFmtId="3" fontId="19" fillId="0" borderId="20" xfId="0" applyNumberFormat="1" applyFont="1" applyBorder="1" applyAlignment="1">
      <alignment horizontal="right" vertical="center"/>
    </xf>
    <xf numFmtId="3" fontId="3" fillId="0" borderId="19" xfId="0" applyNumberFormat="1" applyFont="1" applyBorder="1" applyAlignment="1">
      <alignment horizontal="right" vertical="center"/>
    </xf>
    <xf numFmtId="3" fontId="3" fillId="0" borderId="25" xfId="0" applyNumberFormat="1" applyFont="1" applyBorder="1" applyAlignment="1">
      <alignment horizontal="right" vertical="center"/>
    </xf>
    <xf numFmtId="3" fontId="16" fillId="0" borderId="19" xfId="0" applyNumberFormat="1" applyFont="1" applyBorder="1" applyAlignment="1">
      <alignment horizontal="right" vertical="center"/>
    </xf>
    <xf numFmtId="3" fontId="16" fillId="0" borderId="20" xfId="0" applyNumberFormat="1" applyFont="1" applyBorder="1" applyAlignment="1">
      <alignment horizontal="right" vertical="center"/>
    </xf>
    <xf numFmtId="3" fontId="3" fillId="0" borderId="46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left" vertical="center"/>
    </xf>
    <xf numFmtId="3" fontId="3" fillId="0" borderId="20" xfId="0" applyNumberFormat="1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left" vertical="center"/>
    </xf>
    <xf numFmtId="177" fontId="3" fillId="0" borderId="19" xfId="0" applyNumberFormat="1" applyFont="1" applyBorder="1" applyAlignment="1">
      <alignment horizontal="right" vertical="center"/>
    </xf>
    <xf numFmtId="177" fontId="3" fillId="0" borderId="20" xfId="0" applyNumberFormat="1" applyFont="1" applyBorder="1" applyAlignment="1">
      <alignment horizontal="right" vertical="center"/>
    </xf>
    <xf numFmtId="3" fontId="3" fillId="0" borderId="23" xfId="0" applyNumberFormat="1" applyFont="1" applyBorder="1" applyAlignment="1">
      <alignment horizontal="right" vertical="center"/>
    </xf>
    <xf numFmtId="3" fontId="3" fillId="0" borderId="25" xfId="0" applyNumberFormat="1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3" fontId="3" fillId="0" borderId="39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8" xfId="0" applyNumberFormat="1" applyFont="1" applyBorder="1" applyAlignment="1">
      <alignment horizontal="left" vertical="center"/>
    </xf>
    <xf numFmtId="3" fontId="3" fillId="0" borderId="23" xfId="0" applyNumberFormat="1" applyFont="1" applyBorder="1" applyAlignment="1">
      <alignment horizontal="left" vertical="center"/>
    </xf>
    <xf numFmtId="3" fontId="3" fillId="0" borderId="28" xfId="0" applyNumberFormat="1" applyFont="1" applyBorder="1" applyAlignment="1">
      <alignment horizontal="center" vertical="center"/>
    </xf>
    <xf numFmtId="3" fontId="3" fillId="0" borderId="28" xfId="0" applyNumberFormat="1" applyFont="1" applyBorder="1" applyAlignment="1">
      <alignment horizontal="right" vertical="center"/>
    </xf>
    <xf numFmtId="3" fontId="12" fillId="0" borderId="32" xfId="0" applyNumberFormat="1" applyFont="1" applyBorder="1" applyAlignment="1">
      <alignment horizontal="right" vertical="center"/>
    </xf>
    <xf numFmtId="3" fontId="19" fillId="0" borderId="19" xfId="0" applyNumberFormat="1" applyFont="1" applyBorder="1" applyAlignment="1">
      <alignment horizontal="center" vertical="center"/>
    </xf>
    <xf numFmtId="3" fontId="19" fillId="0" borderId="20" xfId="0" applyNumberFormat="1" applyFont="1" applyBorder="1" applyAlignment="1">
      <alignment horizontal="center" vertical="center"/>
    </xf>
    <xf numFmtId="3" fontId="2" fillId="0" borderId="48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32" xfId="0" applyNumberFormat="1" applyFont="1" applyBorder="1" applyAlignment="1">
      <alignment horizontal="left" vertical="center"/>
    </xf>
    <xf numFmtId="3" fontId="2" fillId="0" borderId="20" xfId="0" applyNumberFormat="1" applyFont="1" applyBorder="1" applyAlignment="1">
      <alignment horizontal="left" vertical="center"/>
    </xf>
    <xf numFmtId="3" fontId="19" fillId="0" borderId="32" xfId="0" applyNumberFormat="1" applyFont="1" applyBorder="1" applyAlignment="1">
      <alignment horizontal="center" vertical="center"/>
    </xf>
    <xf numFmtId="3" fontId="2" fillId="0" borderId="46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left" vertical="center"/>
    </xf>
    <xf numFmtId="3" fontId="25" fillId="0" borderId="19" xfId="0" applyNumberFormat="1" applyFont="1" applyBorder="1" applyAlignment="1">
      <alignment horizontal="center" vertical="center"/>
    </xf>
    <xf numFmtId="3" fontId="25" fillId="0" borderId="20" xfId="0" applyNumberFormat="1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3" fontId="25" fillId="0" borderId="19" xfId="0" applyNumberFormat="1" applyFont="1" applyBorder="1" applyAlignment="1">
      <alignment horizontal="right" vertical="center"/>
    </xf>
    <xf numFmtId="3" fontId="25" fillId="0" borderId="20" xfId="0" applyNumberFormat="1" applyFont="1" applyBorder="1" applyAlignment="1">
      <alignment horizontal="right" vertical="center"/>
    </xf>
    <xf numFmtId="3" fontId="25" fillId="0" borderId="32" xfId="0" applyNumberFormat="1" applyFont="1" applyBorder="1" applyAlignment="1">
      <alignment horizontal="right" vertical="center"/>
    </xf>
    <xf numFmtId="3" fontId="25" fillId="0" borderId="3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47" xfId="0" applyNumberFormat="1" applyFont="1" applyBorder="1" applyAlignment="1">
      <alignment horizontal="center" vertical="center"/>
    </xf>
    <xf numFmtId="3" fontId="2" fillId="0" borderId="43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49" xfId="0" applyNumberFormat="1" applyFont="1" applyBorder="1" applyAlignment="1">
      <alignment horizontal="center" vertical="center"/>
    </xf>
    <xf numFmtId="3" fontId="2" fillId="0" borderId="44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178" fontId="22" fillId="0" borderId="38" xfId="0" applyNumberFormat="1" applyFont="1" applyBorder="1" applyAlignment="1">
      <alignment horizontal="center" vertical="center"/>
    </xf>
    <xf numFmtId="178" fontId="22" fillId="0" borderId="41" xfId="0" applyNumberFormat="1" applyFont="1" applyBorder="1" applyAlignment="1">
      <alignment horizontal="center" vertical="center"/>
    </xf>
    <xf numFmtId="178" fontId="22" fillId="0" borderId="2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</cellXfs>
  <cellStyles count="5">
    <cellStyle name="쉼표 [0] 2" xfId="1"/>
    <cellStyle name="표준" xfId="0" builtinId="0"/>
    <cellStyle name="표준 2" xfId="2"/>
    <cellStyle name="표준 2 2" xfId="3"/>
    <cellStyle name="표준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92</xdr:col>
      <xdr:colOff>190500</xdr:colOff>
      <xdr:row>5</xdr:row>
      <xdr:rowOff>76200</xdr:rowOff>
    </xdr:from>
    <xdr:to>
      <xdr:col>101</xdr:col>
      <xdr:colOff>533400</xdr:colOff>
      <xdr:row>23</xdr:row>
      <xdr:rowOff>66675</xdr:rowOff>
    </xdr:to>
    <xdr:grpSp>
      <xdr:nvGrpSpPr>
        <xdr:cNvPr id="170940" name="그룹 85"/>
        <xdr:cNvGrpSpPr>
          <a:grpSpLocks/>
        </xdr:cNvGrpSpPr>
      </xdr:nvGrpSpPr>
      <xdr:grpSpPr bwMode="auto">
        <a:xfrm>
          <a:off x="11763375" y="1390650"/>
          <a:ext cx="6000750" cy="4276725"/>
          <a:chOff x="12091148" y="1400736"/>
          <a:chExt cx="5972175" cy="4219575"/>
        </a:xfrm>
      </xdr:grpSpPr>
      <xdr:grpSp>
        <xdr:nvGrpSpPr>
          <xdr:cNvPr id="170989" name="그룹 335"/>
          <xdr:cNvGrpSpPr>
            <a:grpSpLocks/>
          </xdr:cNvGrpSpPr>
        </xdr:nvGrpSpPr>
        <xdr:grpSpPr bwMode="auto">
          <a:xfrm>
            <a:off x="12091148" y="3172386"/>
            <a:ext cx="1714500" cy="2447925"/>
            <a:chOff x="658586" y="16440153"/>
            <a:chExt cx="1764846" cy="1396884"/>
          </a:xfrm>
        </xdr:grpSpPr>
        <xdr:cxnSp macro="">
          <xdr:nvCxnSpPr>
            <xdr:cNvPr id="36" name="직선 연결선 35"/>
            <xdr:cNvCxnSpPr/>
          </xdr:nvCxnSpPr>
          <xdr:spPr>
            <a:xfrm rot="16200000" flipH="1">
              <a:off x="380471" y="17126478"/>
              <a:ext cx="595261" cy="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" name="직선 연결선 36"/>
            <xdr:cNvCxnSpPr/>
          </xdr:nvCxnSpPr>
          <xdr:spPr>
            <a:xfrm>
              <a:off x="2034466" y="16448094"/>
              <a:ext cx="390321" cy="1608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" name="직선 연결선 37"/>
            <xdr:cNvCxnSpPr/>
          </xdr:nvCxnSpPr>
          <xdr:spPr>
            <a:xfrm>
              <a:off x="2014950" y="17054081"/>
              <a:ext cx="409837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" name="직선 화살표 연결선 38"/>
            <xdr:cNvCxnSpPr/>
          </xdr:nvCxnSpPr>
          <xdr:spPr>
            <a:xfrm flipH="1">
              <a:off x="2053982" y="16469545"/>
              <a:ext cx="9758" cy="584536"/>
            </a:xfrm>
            <a:prstGeom prst="straightConnector1">
              <a:avLst/>
            </a:prstGeom>
            <a:ln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" name="직선 연결선 2"/>
            <xdr:cNvCxnSpPr/>
          </xdr:nvCxnSpPr>
          <xdr:spPr>
            <a:xfrm rot="16200000" flipH="1">
              <a:off x="1068423" y="17043546"/>
              <a:ext cx="0" cy="7611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1" name="직선 연결선 40"/>
            <xdr:cNvCxnSpPr/>
          </xdr:nvCxnSpPr>
          <xdr:spPr>
            <a:xfrm rot="5400000">
              <a:off x="1134037" y="17108191"/>
              <a:ext cx="600624" cy="9758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2" name="직선 화살표 연결선 27"/>
            <xdr:cNvCxnSpPr/>
          </xdr:nvCxnSpPr>
          <xdr:spPr>
            <a:xfrm>
              <a:off x="678102" y="17761959"/>
              <a:ext cx="780641" cy="0"/>
            </a:xfrm>
            <a:prstGeom prst="straightConnector1">
              <a:avLst/>
            </a:prstGeom>
            <a:ln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3" name="직선 연결선 24"/>
            <xdr:cNvCxnSpPr/>
          </xdr:nvCxnSpPr>
          <xdr:spPr>
            <a:xfrm rot="5400000" flipH="1" flipV="1">
              <a:off x="547946" y="17687364"/>
              <a:ext cx="289587" cy="975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4" name="직선 연결선 25"/>
            <xdr:cNvCxnSpPr/>
          </xdr:nvCxnSpPr>
          <xdr:spPr>
            <a:xfrm rot="5400000" flipH="1" flipV="1">
              <a:off x="1305159" y="17681518"/>
              <a:ext cx="268136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5" name="직선 연결선 2"/>
            <xdr:cNvCxnSpPr/>
          </xdr:nvCxnSpPr>
          <xdr:spPr>
            <a:xfrm rot="16200000" flipH="1">
              <a:off x="1039149" y="16453647"/>
              <a:ext cx="0" cy="7611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6" name="직선 연결선 2"/>
            <xdr:cNvCxnSpPr/>
          </xdr:nvCxnSpPr>
          <xdr:spPr>
            <a:xfrm flipV="1">
              <a:off x="1458743" y="16448094"/>
              <a:ext cx="517175" cy="380753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7" name="직선 연결선 2"/>
            <xdr:cNvCxnSpPr/>
          </xdr:nvCxnSpPr>
          <xdr:spPr>
            <a:xfrm flipV="1">
              <a:off x="1439227" y="17054081"/>
              <a:ext cx="517175" cy="359302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8" name="직선 연결선 47"/>
            <xdr:cNvCxnSpPr/>
          </xdr:nvCxnSpPr>
          <xdr:spPr>
            <a:xfrm rot="5400000">
              <a:off x="1655607" y="16743527"/>
              <a:ext cx="611349" cy="9758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" name="직선 연결선 25"/>
            <xdr:cNvCxnSpPr/>
          </xdr:nvCxnSpPr>
          <xdr:spPr>
            <a:xfrm rot="5400000" flipH="1" flipV="1">
              <a:off x="1829410" y="17271271"/>
              <a:ext cx="273498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0" name="직선 화살표 연결선 27"/>
            <xdr:cNvCxnSpPr/>
          </xdr:nvCxnSpPr>
          <xdr:spPr>
            <a:xfrm flipV="1">
              <a:off x="1439227" y="17311491"/>
              <a:ext cx="517175" cy="402203"/>
            </a:xfrm>
            <a:prstGeom prst="straightConnector1">
              <a:avLst/>
            </a:prstGeom>
            <a:ln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" name="직선 연결선 2"/>
            <xdr:cNvCxnSpPr/>
          </xdr:nvCxnSpPr>
          <xdr:spPr>
            <a:xfrm rot="16200000" flipH="1">
              <a:off x="1570961" y="16062653"/>
              <a:ext cx="0" cy="770883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2" name="직선 연결선 2"/>
            <xdr:cNvCxnSpPr/>
          </xdr:nvCxnSpPr>
          <xdr:spPr>
            <a:xfrm flipV="1">
              <a:off x="687860" y="16442732"/>
              <a:ext cx="507417" cy="37539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70990" name="그룹 335"/>
          <xdr:cNvGrpSpPr>
            <a:grpSpLocks/>
          </xdr:cNvGrpSpPr>
        </xdr:nvGrpSpPr>
        <xdr:grpSpPr bwMode="auto">
          <a:xfrm>
            <a:off x="16348823" y="3172386"/>
            <a:ext cx="1714500" cy="2447925"/>
            <a:chOff x="658586" y="16440153"/>
            <a:chExt cx="1764846" cy="1396884"/>
          </a:xfrm>
        </xdr:grpSpPr>
        <xdr:cxnSp macro="">
          <xdr:nvCxnSpPr>
            <xdr:cNvPr id="19" name="직선 연결선 18"/>
            <xdr:cNvCxnSpPr/>
          </xdr:nvCxnSpPr>
          <xdr:spPr>
            <a:xfrm rot="16200000" flipH="1">
              <a:off x="379117" y="17126478"/>
              <a:ext cx="595261" cy="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" name="직선 연결선 19"/>
            <xdr:cNvCxnSpPr/>
          </xdr:nvCxnSpPr>
          <xdr:spPr>
            <a:xfrm>
              <a:off x="2033111" y="16448094"/>
              <a:ext cx="390321" cy="1608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" name="직선 연결선 20"/>
            <xdr:cNvCxnSpPr/>
          </xdr:nvCxnSpPr>
          <xdr:spPr>
            <a:xfrm>
              <a:off x="2013595" y="17054081"/>
              <a:ext cx="409837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" name="직선 화살표 연결선 21"/>
            <xdr:cNvCxnSpPr/>
          </xdr:nvCxnSpPr>
          <xdr:spPr>
            <a:xfrm flipH="1">
              <a:off x="2052628" y="16469545"/>
              <a:ext cx="9758" cy="584536"/>
            </a:xfrm>
            <a:prstGeom prst="straightConnector1">
              <a:avLst/>
            </a:prstGeom>
            <a:ln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" name="직선 연결선 2"/>
            <xdr:cNvCxnSpPr/>
          </xdr:nvCxnSpPr>
          <xdr:spPr>
            <a:xfrm rot="16200000" flipH="1">
              <a:off x="1067068" y="17043546"/>
              <a:ext cx="0" cy="7611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" name="직선 연결선 23"/>
            <xdr:cNvCxnSpPr/>
          </xdr:nvCxnSpPr>
          <xdr:spPr>
            <a:xfrm rot="5400000">
              <a:off x="1132682" y="17108191"/>
              <a:ext cx="600624" cy="9758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직선 화살표 연결선 27"/>
            <xdr:cNvCxnSpPr/>
          </xdr:nvCxnSpPr>
          <xdr:spPr>
            <a:xfrm>
              <a:off x="676748" y="17761959"/>
              <a:ext cx="780641" cy="0"/>
            </a:xfrm>
            <a:prstGeom prst="straightConnector1">
              <a:avLst/>
            </a:prstGeom>
            <a:ln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직선 연결선 24"/>
            <xdr:cNvCxnSpPr/>
          </xdr:nvCxnSpPr>
          <xdr:spPr>
            <a:xfrm rot="5400000" flipH="1" flipV="1">
              <a:off x="546592" y="17687364"/>
              <a:ext cx="289587" cy="975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" name="직선 연결선 25"/>
            <xdr:cNvCxnSpPr/>
          </xdr:nvCxnSpPr>
          <xdr:spPr>
            <a:xfrm rot="5400000" flipH="1" flipV="1">
              <a:off x="1303805" y="17681518"/>
              <a:ext cx="268136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" name="직선 연결선 2"/>
            <xdr:cNvCxnSpPr/>
          </xdr:nvCxnSpPr>
          <xdr:spPr>
            <a:xfrm rot="16200000" flipH="1">
              <a:off x="1037794" y="16453647"/>
              <a:ext cx="0" cy="7611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" name="직선 연결선 2"/>
            <xdr:cNvCxnSpPr/>
          </xdr:nvCxnSpPr>
          <xdr:spPr>
            <a:xfrm flipV="1">
              <a:off x="1457389" y="16448094"/>
              <a:ext cx="517175" cy="380753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" name="직선 연결선 2"/>
            <xdr:cNvCxnSpPr/>
          </xdr:nvCxnSpPr>
          <xdr:spPr>
            <a:xfrm flipV="1">
              <a:off x="1437873" y="17054081"/>
              <a:ext cx="517175" cy="359302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" name="직선 연결선 30"/>
            <xdr:cNvCxnSpPr/>
          </xdr:nvCxnSpPr>
          <xdr:spPr>
            <a:xfrm rot="5400000">
              <a:off x="1654252" y="16743527"/>
              <a:ext cx="611349" cy="9758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" name="직선 연결선 25"/>
            <xdr:cNvCxnSpPr/>
          </xdr:nvCxnSpPr>
          <xdr:spPr>
            <a:xfrm rot="5400000" flipH="1" flipV="1">
              <a:off x="1828056" y="17271271"/>
              <a:ext cx="273498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" name="직선 화살표 연결선 27"/>
            <xdr:cNvCxnSpPr/>
          </xdr:nvCxnSpPr>
          <xdr:spPr>
            <a:xfrm flipV="1">
              <a:off x="1437873" y="17311491"/>
              <a:ext cx="517175" cy="402203"/>
            </a:xfrm>
            <a:prstGeom prst="straightConnector1">
              <a:avLst/>
            </a:prstGeom>
            <a:ln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4" name="직선 연결선 2"/>
            <xdr:cNvCxnSpPr/>
          </xdr:nvCxnSpPr>
          <xdr:spPr>
            <a:xfrm rot="16200000" flipH="1">
              <a:off x="1569606" y="16062653"/>
              <a:ext cx="0" cy="770883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" name="직선 연결선 2"/>
            <xdr:cNvCxnSpPr/>
          </xdr:nvCxnSpPr>
          <xdr:spPr>
            <a:xfrm flipV="1">
              <a:off x="686506" y="16442732"/>
              <a:ext cx="507417" cy="37539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3" name="직선 연결선 12"/>
          <xdr:cNvCxnSpPr/>
        </xdr:nvCxnSpPr>
        <xdr:spPr>
          <a:xfrm flipV="1">
            <a:off x="12546171" y="1400736"/>
            <a:ext cx="9480" cy="215207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직선 연결선 13"/>
          <xdr:cNvCxnSpPr/>
        </xdr:nvCxnSpPr>
        <xdr:spPr>
          <a:xfrm flipV="1">
            <a:off x="12840040" y="1795440"/>
            <a:ext cx="9480" cy="176677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직선 연결선 14"/>
          <xdr:cNvCxnSpPr/>
        </xdr:nvCxnSpPr>
        <xdr:spPr>
          <a:xfrm flipV="1">
            <a:off x="16849929" y="1804838"/>
            <a:ext cx="18959" cy="177616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직선 연결선 15"/>
          <xdr:cNvCxnSpPr/>
        </xdr:nvCxnSpPr>
        <xdr:spPr>
          <a:xfrm flipV="1">
            <a:off x="17153277" y="1438327"/>
            <a:ext cx="9480" cy="215207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직선 연결선 16"/>
          <xdr:cNvCxnSpPr/>
        </xdr:nvCxnSpPr>
        <xdr:spPr>
          <a:xfrm>
            <a:off x="12858999" y="1776645"/>
            <a:ext cx="4009889" cy="2819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직선 연결선 17"/>
          <xdr:cNvCxnSpPr/>
        </xdr:nvCxnSpPr>
        <xdr:spPr>
          <a:xfrm>
            <a:off x="12555651" y="1410134"/>
            <a:ext cx="4588147" cy="3759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54</xdr:col>
      <xdr:colOff>19050</xdr:colOff>
      <xdr:row>5</xdr:row>
      <xdr:rowOff>161925</xdr:rowOff>
    </xdr:from>
    <xdr:to>
      <xdr:col>79</xdr:col>
      <xdr:colOff>38100</xdr:colOff>
      <xdr:row>15</xdr:row>
      <xdr:rowOff>0</xdr:rowOff>
    </xdr:to>
    <xdr:grpSp>
      <xdr:nvGrpSpPr>
        <xdr:cNvPr id="170941" name="그룹 231"/>
        <xdr:cNvGrpSpPr>
          <a:grpSpLocks/>
        </xdr:cNvGrpSpPr>
      </xdr:nvGrpSpPr>
      <xdr:grpSpPr bwMode="auto">
        <a:xfrm>
          <a:off x="4810125" y="1476375"/>
          <a:ext cx="2162175" cy="2219325"/>
          <a:chOff x="4570229" y="1470615"/>
          <a:chExt cx="2150808" cy="2205939"/>
        </a:xfrm>
      </xdr:grpSpPr>
      <xdr:cxnSp macro="">
        <xdr:nvCxnSpPr>
          <xdr:cNvPr id="57" name="직선 연결선 56"/>
          <xdr:cNvCxnSpPr/>
        </xdr:nvCxnSpPr>
        <xdr:spPr>
          <a:xfrm>
            <a:off x="5489297" y="1480083"/>
            <a:ext cx="303198" cy="302962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직선 연결선 57"/>
          <xdr:cNvCxnSpPr/>
        </xdr:nvCxnSpPr>
        <xdr:spPr>
          <a:xfrm>
            <a:off x="6398890" y="2426837"/>
            <a:ext cx="312673" cy="312429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9" name="직선 연결선 58"/>
          <xdr:cNvCxnSpPr/>
        </xdr:nvCxnSpPr>
        <xdr:spPr>
          <a:xfrm flipH="1">
            <a:off x="6417839" y="1480083"/>
            <a:ext cx="303198" cy="302962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0" name="직선 연결선 59"/>
          <xdr:cNvCxnSpPr/>
        </xdr:nvCxnSpPr>
        <xdr:spPr>
          <a:xfrm flipH="1">
            <a:off x="5517722" y="2417370"/>
            <a:ext cx="293723" cy="312429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1" name="직사각형 60"/>
          <xdr:cNvSpPr/>
        </xdr:nvSpPr>
        <xdr:spPr>
          <a:xfrm>
            <a:off x="5792494" y="1783044"/>
            <a:ext cx="606395" cy="643793"/>
          </a:xfrm>
          <a:prstGeom prst="rect">
            <a:avLst/>
          </a:prstGeom>
          <a:noFill/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sp macro="" textlink="">
        <xdr:nvSpPr>
          <xdr:cNvPr id="62" name="직사각형 61"/>
          <xdr:cNvSpPr/>
        </xdr:nvSpPr>
        <xdr:spPr>
          <a:xfrm>
            <a:off x="5498772" y="1470615"/>
            <a:ext cx="1212790" cy="1268652"/>
          </a:xfrm>
          <a:prstGeom prst="rect">
            <a:avLst/>
          </a:prstGeom>
          <a:noFill/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63" name="직선 화살표 연결선 62"/>
          <xdr:cNvCxnSpPr/>
        </xdr:nvCxnSpPr>
        <xdr:spPr>
          <a:xfrm>
            <a:off x="4901851" y="1470615"/>
            <a:ext cx="9475" cy="302962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4" name="직선 화살표 연결선 63"/>
          <xdr:cNvCxnSpPr/>
        </xdr:nvCxnSpPr>
        <xdr:spPr>
          <a:xfrm>
            <a:off x="4901851" y="2426837"/>
            <a:ext cx="9475" cy="302962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5" name="직선 화살표 연결선 64"/>
          <xdr:cNvCxnSpPr/>
        </xdr:nvCxnSpPr>
        <xdr:spPr>
          <a:xfrm flipH="1">
            <a:off x="4901851" y="1773577"/>
            <a:ext cx="9475" cy="634326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6" name="직선 화살표 연결선 65"/>
          <xdr:cNvCxnSpPr/>
        </xdr:nvCxnSpPr>
        <xdr:spPr>
          <a:xfrm flipH="1">
            <a:off x="4598654" y="1480083"/>
            <a:ext cx="9475" cy="1249717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7" name="직선 연결선 66"/>
          <xdr:cNvCxnSpPr/>
        </xdr:nvCxnSpPr>
        <xdr:spPr>
          <a:xfrm>
            <a:off x="4598654" y="1470615"/>
            <a:ext cx="606395" cy="0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8" name="직선 연결선 67"/>
          <xdr:cNvCxnSpPr/>
        </xdr:nvCxnSpPr>
        <xdr:spPr>
          <a:xfrm>
            <a:off x="4570229" y="2739267"/>
            <a:ext cx="606395" cy="0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9" name="직선 연결선 68"/>
          <xdr:cNvCxnSpPr/>
        </xdr:nvCxnSpPr>
        <xdr:spPr>
          <a:xfrm flipV="1">
            <a:off x="4873427" y="2417370"/>
            <a:ext cx="360047" cy="0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0" name="직선 연결선 69"/>
          <xdr:cNvCxnSpPr/>
        </xdr:nvCxnSpPr>
        <xdr:spPr>
          <a:xfrm flipV="1">
            <a:off x="4882902" y="1783044"/>
            <a:ext cx="360047" cy="0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1" name="직선 연결선 70"/>
          <xdr:cNvCxnSpPr/>
        </xdr:nvCxnSpPr>
        <xdr:spPr>
          <a:xfrm>
            <a:off x="5489297" y="3042228"/>
            <a:ext cx="0" cy="634326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2" name="직선 연결선 71"/>
          <xdr:cNvCxnSpPr/>
        </xdr:nvCxnSpPr>
        <xdr:spPr>
          <a:xfrm>
            <a:off x="6711562" y="3032761"/>
            <a:ext cx="0" cy="643793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3" name="직선 연결선 72"/>
          <xdr:cNvCxnSpPr/>
        </xdr:nvCxnSpPr>
        <xdr:spPr>
          <a:xfrm>
            <a:off x="5792494" y="3042228"/>
            <a:ext cx="0" cy="340832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4" name="직선 연결선 73"/>
          <xdr:cNvCxnSpPr/>
        </xdr:nvCxnSpPr>
        <xdr:spPr>
          <a:xfrm>
            <a:off x="6398890" y="3061163"/>
            <a:ext cx="0" cy="340832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" name="직선 화살표 연결선 74"/>
          <xdr:cNvCxnSpPr/>
        </xdr:nvCxnSpPr>
        <xdr:spPr>
          <a:xfrm flipV="1">
            <a:off x="5489297" y="3373592"/>
            <a:ext cx="303198" cy="9468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6" name="직선 화살표 연결선 75"/>
          <xdr:cNvCxnSpPr/>
        </xdr:nvCxnSpPr>
        <xdr:spPr>
          <a:xfrm flipV="1">
            <a:off x="6379940" y="3373592"/>
            <a:ext cx="331622" cy="9468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7" name="직선 화살표 연결선 76"/>
          <xdr:cNvCxnSpPr/>
        </xdr:nvCxnSpPr>
        <xdr:spPr>
          <a:xfrm flipV="1">
            <a:off x="5792494" y="3373592"/>
            <a:ext cx="615870" cy="9468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직선 연결선 77"/>
          <xdr:cNvCxnSpPr/>
        </xdr:nvCxnSpPr>
        <xdr:spPr>
          <a:xfrm>
            <a:off x="5489297" y="3667086"/>
            <a:ext cx="1222265" cy="9468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28575</xdr:colOff>
      <xdr:row>6</xdr:row>
      <xdr:rowOff>171450</xdr:rowOff>
    </xdr:from>
    <xdr:to>
      <xdr:col>50</xdr:col>
      <xdr:colOff>28575</xdr:colOff>
      <xdr:row>14</xdr:row>
      <xdr:rowOff>133350</xdr:rowOff>
    </xdr:to>
    <xdr:grpSp>
      <xdr:nvGrpSpPr>
        <xdr:cNvPr id="170942" name="그룹 229"/>
        <xdr:cNvGrpSpPr>
          <a:grpSpLocks/>
        </xdr:cNvGrpSpPr>
      </xdr:nvGrpSpPr>
      <xdr:grpSpPr bwMode="auto">
        <a:xfrm>
          <a:off x="790575" y="1724025"/>
          <a:ext cx="3686175" cy="1866900"/>
          <a:chOff x="772240" y="1722215"/>
          <a:chExt cx="3094096" cy="1495591"/>
        </a:xfrm>
      </xdr:grpSpPr>
      <xdr:cxnSp macro="">
        <xdr:nvCxnSpPr>
          <xdr:cNvPr id="80" name="직선 연결선 79"/>
          <xdr:cNvCxnSpPr/>
        </xdr:nvCxnSpPr>
        <xdr:spPr>
          <a:xfrm>
            <a:off x="1683679" y="2210571"/>
            <a:ext cx="151907" cy="557031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1" name="직선 연결선 80"/>
          <xdr:cNvCxnSpPr/>
        </xdr:nvCxnSpPr>
        <xdr:spPr>
          <a:xfrm>
            <a:off x="1835586" y="2767603"/>
            <a:ext cx="1127306" cy="0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2" name="직선 연결선 81"/>
          <xdr:cNvCxnSpPr/>
        </xdr:nvCxnSpPr>
        <xdr:spPr>
          <a:xfrm flipV="1">
            <a:off x="2962892" y="2218202"/>
            <a:ext cx="199877" cy="557031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3" name="직선 연결선 82"/>
          <xdr:cNvCxnSpPr/>
        </xdr:nvCxnSpPr>
        <xdr:spPr>
          <a:xfrm>
            <a:off x="772240" y="2202941"/>
            <a:ext cx="3094096" cy="22892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4" name="직선 연결선 83"/>
          <xdr:cNvCxnSpPr/>
        </xdr:nvCxnSpPr>
        <xdr:spPr>
          <a:xfrm flipH="1">
            <a:off x="2123409" y="2210571"/>
            <a:ext cx="87946" cy="564662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5" name="직선 연결선 84"/>
          <xdr:cNvCxnSpPr/>
        </xdr:nvCxnSpPr>
        <xdr:spPr>
          <a:xfrm>
            <a:off x="2619104" y="2225832"/>
            <a:ext cx="95941" cy="541770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6" name="직선 화살표 연결선 85"/>
          <xdr:cNvCxnSpPr/>
        </xdr:nvCxnSpPr>
        <xdr:spPr>
          <a:xfrm flipH="1">
            <a:off x="1227960" y="2210571"/>
            <a:ext cx="7995" cy="557031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7" name="직선 화살표 연결선 86"/>
          <xdr:cNvCxnSpPr/>
        </xdr:nvCxnSpPr>
        <xdr:spPr>
          <a:xfrm>
            <a:off x="2115413" y="3210175"/>
            <a:ext cx="591636" cy="0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8" name="직선 화살표 연결선 87"/>
          <xdr:cNvCxnSpPr/>
        </xdr:nvCxnSpPr>
        <xdr:spPr>
          <a:xfrm flipV="1">
            <a:off x="2715044" y="3202545"/>
            <a:ext cx="255843" cy="7631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9" name="직선 화살표 연결선 88"/>
          <xdr:cNvCxnSpPr/>
        </xdr:nvCxnSpPr>
        <xdr:spPr>
          <a:xfrm>
            <a:off x="1675684" y="1760368"/>
            <a:ext cx="543665" cy="0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0" name="직선 화살표 연결선 89"/>
          <xdr:cNvCxnSpPr/>
        </xdr:nvCxnSpPr>
        <xdr:spPr>
          <a:xfrm flipV="1">
            <a:off x="2635094" y="1767998"/>
            <a:ext cx="535670" cy="7631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1" name="직선 화살표 연결선 90"/>
          <xdr:cNvCxnSpPr/>
        </xdr:nvCxnSpPr>
        <xdr:spPr>
          <a:xfrm>
            <a:off x="2211354" y="1767998"/>
            <a:ext cx="423739" cy="0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2" name="직선 연결선 91"/>
          <xdr:cNvCxnSpPr/>
        </xdr:nvCxnSpPr>
        <xdr:spPr>
          <a:xfrm flipH="1">
            <a:off x="2123409" y="2988889"/>
            <a:ext cx="0" cy="221286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3" name="직선 연결선 92"/>
          <xdr:cNvCxnSpPr/>
        </xdr:nvCxnSpPr>
        <xdr:spPr>
          <a:xfrm flipH="1">
            <a:off x="2715044" y="2988889"/>
            <a:ext cx="0" cy="221286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4" name="직선 연결선 93"/>
          <xdr:cNvCxnSpPr/>
        </xdr:nvCxnSpPr>
        <xdr:spPr>
          <a:xfrm flipH="1">
            <a:off x="3170764" y="1745107"/>
            <a:ext cx="0" cy="267070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5" name="직선 연결선 94"/>
          <xdr:cNvCxnSpPr/>
        </xdr:nvCxnSpPr>
        <xdr:spPr>
          <a:xfrm flipH="1">
            <a:off x="2627099" y="1737476"/>
            <a:ext cx="7995" cy="259439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6" name="직선 연결선 95"/>
          <xdr:cNvCxnSpPr/>
        </xdr:nvCxnSpPr>
        <xdr:spPr>
          <a:xfrm flipH="1">
            <a:off x="1667689" y="1729846"/>
            <a:ext cx="0" cy="267070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7" name="직선 연결선 96"/>
          <xdr:cNvCxnSpPr/>
        </xdr:nvCxnSpPr>
        <xdr:spPr>
          <a:xfrm flipH="1">
            <a:off x="2219349" y="1722215"/>
            <a:ext cx="7995" cy="267070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8" name="직선 연결선 97"/>
          <xdr:cNvCxnSpPr/>
        </xdr:nvCxnSpPr>
        <xdr:spPr>
          <a:xfrm flipV="1">
            <a:off x="2363261" y="1722215"/>
            <a:ext cx="7995" cy="480726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9" name="직선 연결선 98"/>
          <xdr:cNvCxnSpPr/>
        </xdr:nvCxnSpPr>
        <xdr:spPr>
          <a:xfrm flipV="1">
            <a:off x="2491182" y="1729846"/>
            <a:ext cx="7995" cy="480726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0" name="직선 연결선 99"/>
          <xdr:cNvCxnSpPr/>
        </xdr:nvCxnSpPr>
        <xdr:spPr>
          <a:xfrm>
            <a:off x="2371256" y="1729846"/>
            <a:ext cx="127921" cy="0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1" name="직선 연결선 100"/>
          <xdr:cNvCxnSpPr/>
        </xdr:nvCxnSpPr>
        <xdr:spPr>
          <a:xfrm flipH="1">
            <a:off x="2962892" y="2988889"/>
            <a:ext cx="0" cy="221286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2" name="직선 연결선 101"/>
          <xdr:cNvCxnSpPr/>
        </xdr:nvCxnSpPr>
        <xdr:spPr>
          <a:xfrm flipH="1">
            <a:off x="1835586" y="2996520"/>
            <a:ext cx="7995" cy="221286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3" name="직선 화살표 연결선 102"/>
          <xdr:cNvCxnSpPr/>
        </xdr:nvCxnSpPr>
        <xdr:spPr>
          <a:xfrm flipV="1">
            <a:off x="1843581" y="3202545"/>
            <a:ext cx="271833" cy="0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&#51060;&#51116;&#50689;(2017~)/20&#45380;%20&#46020;&#47196;&#49884;&#49444;&#54016;/2.%20&#51452;&#50629;&#47924;/1.%20&#44277;&#49324;/1.%20&#44368;&#53685;&#50504;&#51204;&#49884;&#49444;&#47932;/1.%20&#49444;&#44228;/2020&#45380;%20&#51088;&#46041;&#52264;&#51204;&#50857;&#46020;&#47196;%20&#48512;&#49549;&#49884;&#49444;&#47932;%20&#51221;&#48708;&#44277;&#49324;(&#50672;&#44036;&#45800;&#44032;)%20(&#48372;&#507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갑지"/>
      <sheetName val="원가계산서"/>
      <sheetName val="내역서총괄표"/>
      <sheetName val="내역서"/>
      <sheetName val="일위대가총괄표"/>
      <sheetName val="일위대가"/>
      <sheetName val="수량산출"/>
      <sheetName val="수량산출2"/>
      <sheetName val="단가산출총괄표"/>
      <sheetName val="단가산출"/>
      <sheetName val="기계경비총괄표"/>
      <sheetName val="기계경비"/>
      <sheetName val="기계경비적용기준"/>
      <sheetName val="노임및중기단가"/>
      <sheetName val="자재단가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F4">
            <v>8631.2999999999993</v>
          </cell>
          <cell r="G4">
            <v>42267</v>
          </cell>
          <cell r="H4">
            <v>14129.8</v>
          </cell>
        </row>
        <row r="6">
          <cell r="F6">
            <v>7520.1</v>
          </cell>
          <cell r="G6">
            <v>42267</v>
          </cell>
          <cell r="H6">
            <v>12301.5</v>
          </cell>
        </row>
        <row r="8">
          <cell r="F8">
            <v>17879.3</v>
          </cell>
          <cell r="G8">
            <v>42267</v>
          </cell>
          <cell r="H8">
            <v>23834.400000000001</v>
          </cell>
        </row>
        <row r="10">
          <cell r="F10">
            <v>8631.2999999999993</v>
          </cell>
          <cell r="G10">
            <v>42267</v>
          </cell>
          <cell r="H10">
            <v>16751.7</v>
          </cell>
        </row>
        <row r="12">
          <cell r="F12">
            <v>7520.1</v>
          </cell>
          <cell r="G12">
            <v>42267</v>
          </cell>
          <cell r="H12">
            <v>14923.4</v>
          </cell>
        </row>
        <row r="14">
          <cell r="F14">
            <v>17879.3</v>
          </cell>
          <cell r="G14">
            <v>42267</v>
          </cell>
          <cell r="H14">
            <v>31987.200000000001</v>
          </cell>
        </row>
        <row r="21">
          <cell r="F21">
            <v>39795.199999999997</v>
          </cell>
          <cell r="G21">
            <v>293704</v>
          </cell>
          <cell r="H21">
            <v>46484</v>
          </cell>
        </row>
        <row r="38">
          <cell r="F38">
            <v>15363.4</v>
          </cell>
          <cell r="G38">
            <v>36713</v>
          </cell>
          <cell r="H38">
            <v>19877.2</v>
          </cell>
        </row>
        <row r="46">
          <cell r="F46">
            <v>1849.7</v>
          </cell>
          <cell r="G46">
            <v>28949</v>
          </cell>
          <cell r="H46">
            <v>957.8</v>
          </cell>
        </row>
        <row r="50">
          <cell r="F50">
            <v>9374.4</v>
          </cell>
          <cell r="G50">
            <v>28949</v>
          </cell>
          <cell r="H50">
            <v>1770.2</v>
          </cell>
        </row>
        <row r="52">
          <cell r="F52">
            <v>1674</v>
          </cell>
          <cell r="G52">
            <v>28949</v>
          </cell>
          <cell r="H52">
            <v>529.5</v>
          </cell>
        </row>
        <row r="58">
          <cell r="H58">
            <v>105.5</v>
          </cell>
        </row>
        <row r="60">
          <cell r="H60">
            <v>417</v>
          </cell>
        </row>
        <row r="62">
          <cell r="F62">
            <v>8939</v>
          </cell>
          <cell r="G62">
            <v>42267</v>
          </cell>
          <cell r="H62">
            <v>2095</v>
          </cell>
        </row>
        <row r="64">
          <cell r="F64">
            <v>2176</v>
          </cell>
          <cell r="G64">
            <v>28949</v>
          </cell>
          <cell r="H64">
            <v>225</v>
          </cell>
        </row>
        <row r="68">
          <cell r="F68">
            <v>15027</v>
          </cell>
          <cell r="G68">
            <v>36713</v>
          </cell>
          <cell r="H68">
            <v>8821</v>
          </cell>
        </row>
      </sheetData>
      <sheetData sheetId="12"/>
      <sheetData sheetId="13"/>
      <sheetData sheetId="14">
        <row r="5">
          <cell r="I5">
            <v>192968</v>
          </cell>
        </row>
        <row r="7">
          <cell r="I7">
            <v>166063</v>
          </cell>
        </row>
        <row r="8">
          <cell r="I8">
            <v>138290</v>
          </cell>
        </row>
        <row r="11">
          <cell r="I11">
            <v>216528</v>
          </cell>
        </row>
        <row r="12">
          <cell r="I12">
            <v>156731</v>
          </cell>
        </row>
        <row r="13">
          <cell r="I13">
            <v>216409</v>
          </cell>
        </row>
        <row r="14">
          <cell r="I14">
            <v>219392</v>
          </cell>
        </row>
        <row r="15">
          <cell r="I15">
            <v>194484</v>
          </cell>
        </row>
        <row r="16">
          <cell r="I16">
            <v>215964</v>
          </cell>
        </row>
        <row r="17">
          <cell r="I17">
            <v>198613</v>
          </cell>
        </row>
        <row r="19">
          <cell r="I19">
            <v>223094</v>
          </cell>
        </row>
        <row r="21">
          <cell r="I21">
            <v>234297</v>
          </cell>
        </row>
      </sheetData>
      <sheetData sheetId="15">
        <row r="59">
          <cell r="M59">
            <v>33000</v>
          </cell>
        </row>
        <row r="66">
          <cell r="M66">
            <v>4700</v>
          </cell>
        </row>
        <row r="84">
          <cell r="M84">
            <v>135000</v>
          </cell>
        </row>
        <row r="85">
          <cell r="M85">
            <v>78100</v>
          </cell>
        </row>
        <row r="86">
          <cell r="M86">
            <v>595000</v>
          </cell>
        </row>
        <row r="88">
          <cell r="M88">
            <v>1240</v>
          </cell>
        </row>
        <row r="89">
          <cell r="M89">
            <v>416</v>
          </cell>
        </row>
        <row r="90">
          <cell r="M90">
            <v>152000</v>
          </cell>
        </row>
        <row r="91">
          <cell r="M91">
            <v>25000</v>
          </cell>
        </row>
        <row r="92">
          <cell r="M92">
            <v>5555</v>
          </cell>
        </row>
        <row r="93">
          <cell r="M93">
            <v>301140</v>
          </cell>
        </row>
        <row r="94">
          <cell r="M94">
            <v>3300</v>
          </cell>
        </row>
        <row r="95">
          <cell r="M95">
            <v>260</v>
          </cell>
        </row>
        <row r="96">
          <cell r="M96">
            <v>4322</v>
          </cell>
        </row>
        <row r="97">
          <cell r="M97">
            <v>5777</v>
          </cell>
        </row>
        <row r="98">
          <cell r="M98">
            <v>3338</v>
          </cell>
        </row>
        <row r="99">
          <cell r="M99">
            <v>8505</v>
          </cell>
        </row>
        <row r="107">
          <cell r="M107">
            <v>2760</v>
          </cell>
        </row>
        <row r="108">
          <cell r="M108">
            <v>275</v>
          </cell>
        </row>
        <row r="109">
          <cell r="M109">
            <v>11000</v>
          </cell>
        </row>
        <row r="110">
          <cell r="M110">
            <v>59.2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4"/>
  <sheetViews>
    <sheetView showGridLines="0" tabSelected="1" view="pageBreakPreview" zoomScaleNormal="100" zoomScaleSheetLayoutView="100" workbookViewId="0">
      <pane ySplit="3" topLeftCell="A4" activePane="bottomLeft" state="frozen"/>
      <selection activeCell="U4" sqref="U4"/>
      <selection pane="bottomLeft" activeCell="H21" sqref="H21"/>
    </sheetView>
  </sheetViews>
  <sheetFormatPr defaultRowHeight="12.75" x14ac:dyDescent="0.2"/>
  <cols>
    <col min="1" max="1" width="0.7109375" customWidth="1"/>
    <col min="2" max="2" width="7.7109375" customWidth="1"/>
    <col min="3" max="3" width="29.5703125" bestFit="1" customWidth="1"/>
    <col min="4" max="4" width="28.5703125" bestFit="1" customWidth="1"/>
    <col min="5" max="5" width="6.42578125" bestFit="1" customWidth="1"/>
    <col min="6" max="6" width="7.7109375" customWidth="1"/>
    <col min="7" max="7" width="18.42578125" customWidth="1"/>
    <col min="8" max="8" width="16.140625" customWidth="1"/>
    <col min="9" max="9" width="15.5703125" customWidth="1"/>
    <col min="10" max="10" width="16.28515625" customWidth="1"/>
    <col min="11" max="11" width="13.5703125" customWidth="1"/>
  </cols>
  <sheetData>
    <row r="1" spans="2:11" ht="24.95" customHeight="1" x14ac:dyDescent="0.2">
      <c r="B1" s="158" t="s">
        <v>56</v>
      </c>
      <c r="C1" s="178"/>
      <c r="D1" s="178"/>
      <c r="E1" s="178"/>
      <c r="F1" s="178"/>
      <c r="G1" s="178"/>
      <c r="H1" s="178"/>
      <c r="I1" s="178"/>
      <c r="J1" s="178"/>
      <c r="K1" s="179"/>
    </row>
    <row r="2" spans="2:11" ht="9.9499999999999993" customHeight="1" x14ac:dyDescent="0.2">
      <c r="B2" s="159"/>
      <c r="C2" s="160"/>
      <c r="D2" s="160"/>
      <c r="E2" s="160"/>
      <c r="F2" s="160"/>
      <c r="G2" s="160"/>
      <c r="H2" s="160"/>
      <c r="I2" s="160"/>
      <c r="J2" s="160"/>
      <c r="K2" s="161"/>
    </row>
    <row r="3" spans="2:11" ht="30.75" customHeight="1" x14ac:dyDescent="0.2">
      <c r="B3" s="5" t="s">
        <v>36</v>
      </c>
      <c r="C3" s="1" t="s">
        <v>21</v>
      </c>
      <c r="D3" s="1" t="s">
        <v>23</v>
      </c>
      <c r="E3" s="1" t="s">
        <v>2</v>
      </c>
      <c r="F3" s="1" t="s">
        <v>10</v>
      </c>
      <c r="G3" s="1" t="s">
        <v>34</v>
      </c>
      <c r="H3" s="1" t="s">
        <v>26</v>
      </c>
      <c r="I3" s="1" t="s">
        <v>19</v>
      </c>
      <c r="J3" s="1" t="s">
        <v>4</v>
      </c>
      <c r="K3" s="2" t="s">
        <v>7</v>
      </c>
    </row>
    <row r="4" spans="2:11" ht="10.5" customHeight="1" x14ac:dyDescent="0.2">
      <c r="B4" s="180">
        <v>1</v>
      </c>
      <c r="C4" s="182" t="str">
        <f>내역서!C5</f>
        <v>교통안전시설물 정비공</v>
      </c>
      <c r="D4" s="184" t="s">
        <v>37</v>
      </c>
      <c r="E4" s="185">
        <v>1</v>
      </c>
      <c r="F4" s="184" t="s">
        <v>38</v>
      </c>
      <c r="G4" s="186"/>
      <c r="H4" s="186"/>
      <c r="I4" s="186"/>
      <c r="J4" s="186"/>
      <c r="K4" s="72"/>
    </row>
    <row r="5" spans="2:11" ht="10.5" customHeight="1" x14ac:dyDescent="0.2">
      <c r="B5" s="181"/>
      <c r="C5" s="183"/>
      <c r="D5" s="155"/>
      <c r="E5" s="175"/>
      <c r="F5" s="155"/>
      <c r="G5" s="150"/>
      <c r="H5" s="150"/>
      <c r="I5" s="150"/>
      <c r="J5" s="150"/>
      <c r="K5" s="16"/>
    </row>
    <row r="6" spans="2:11" ht="10.5" customHeight="1" x14ac:dyDescent="0.2">
      <c r="B6" s="181">
        <v>2</v>
      </c>
      <c r="C6" s="183" t="str">
        <f>내역서!C96</f>
        <v>긴급 정비공</v>
      </c>
      <c r="D6" s="155" t="s">
        <v>37</v>
      </c>
      <c r="E6" s="175">
        <v>1</v>
      </c>
      <c r="F6" s="155" t="s">
        <v>38</v>
      </c>
      <c r="G6" s="151"/>
      <c r="H6" s="151"/>
      <c r="I6" s="151"/>
      <c r="J6" s="151"/>
      <c r="K6" s="42"/>
    </row>
    <row r="7" spans="2:11" ht="10.5" customHeight="1" x14ac:dyDescent="0.2">
      <c r="B7" s="181"/>
      <c r="C7" s="183"/>
      <c r="D7" s="155"/>
      <c r="E7" s="175"/>
      <c r="F7" s="155"/>
      <c r="G7" s="150"/>
      <c r="H7" s="150"/>
      <c r="I7" s="150"/>
      <c r="J7" s="150"/>
      <c r="K7" s="16"/>
    </row>
    <row r="8" spans="2:11" ht="10.5" customHeight="1" x14ac:dyDescent="0.2">
      <c r="B8" s="181">
        <v>3</v>
      </c>
      <c r="C8" s="183" t="str">
        <f>내역서!C110</f>
        <v>부대공</v>
      </c>
      <c r="D8" s="155" t="s">
        <v>37</v>
      </c>
      <c r="E8" s="175">
        <v>1</v>
      </c>
      <c r="F8" s="155" t="s">
        <v>38</v>
      </c>
      <c r="G8" s="151"/>
      <c r="H8" s="151"/>
      <c r="I8" s="151"/>
      <c r="J8" s="151"/>
      <c r="K8" s="42"/>
    </row>
    <row r="9" spans="2:11" ht="10.5" customHeight="1" x14ac:dyDescent="0.2">
      <c r="B9" s="181"/>
      <c r="C9" s="183"/>
      <c r="D9" s="155"/>
      <c r="E9" s="175"/>
      <c r="F9" s="155"/>
      <c r="G9" s="150"/>
      <c r="H9" s="150"/>
      <c r="I9" s="150"/>
      <c r="J9" s="150"/>
      <c r="K9" s="16"/>
    </row>
    <row r="10" spans="2:11" ht="10.5" customHeight="1" x14ac:dyDescent="0.2">
      <c r="B10" s="181">
        <v>4</v>
      </c>
      <c r="C10" s="183" t="str">
        <f>내역서!C117</f>
        <v>고재처리</v>
      </c>
      <c r="D10" s="155" t="s">
        <v>37</v>
      </c>
      <c r="E10" s="175">
        <v>1</v>
      </c>
      <c r="F10" s="155" t="s">
        <v>38</v>
      </c>
      <c r="G10" s="151"/>
      <c r="H10" s="70"/>
      <c r="I10" s="151"/>
      <c r="J10" s="70"/>
      <c r="K10" s="42"/>
    </row>
    <row r="11" spans="2:11" ht="10.5" customHeight="1" x14ac:dyDescent="0.2">
      <c r="B11" s="181"/>
      <c r="C11" s="183"/>
      <c r="D11" s="155"/>
      <c r="E11" s="175"/>
      <c r="F11" s="155"/>
      <c r="G11" s="150"/>
      <c r="H11" s="139"/>
      <c r="I11" s="150"/>
      <c r="J11" s="139"/>
      <c r="K11" s="16"/>
    </row>
    <row r="12" spans="2:11" ht="10.5" customHeight="1" x14ac:dyDescent="0.2">
      <c r="B12" s="168" t="s">
        <v>37</v>
      </c>
      <c r="C12" s="169" t="s">
        <v>18</v>
      </c>
      <c r="D12" s="157" t="s">
        <v>37</v>
      </c>
      <c r="E12" s="164"/>
      <c r="F12" s="157" t="s">
        <v>37</v>
      </c>
      <c r="G12" s="166"/>
      <c r="H12" s="166"/>
      <c r="I12" s="166"/>
      <c r="J12" s="166"/>
      <c r="K12" s="42"/>
    </row>
    <row r="13" spans="2:11" ht="10.5" customHeight="1" x14ac:dyDescent="0.2">
      <c r="B13" s="171"/>
      <c r="C13" s="170"/>
      <c r="D13" s="156"/>
      <c r="E13" s="153"/>
      <c r="F13" s="156"/>
      <c r="G13" s="167"/>
      <c r="H13" s="167"/>
      <c r="I13" s="167"/>
      <c r="J13" s="167"/>
      <c r="K13" s="16"/>
    </row>
    <row r="14" spans="2:11" ht="10.5" customHeight="1" x14ac:dyDescent="0.2">
      <c r="B14" s="168" t="s">
        <v>37</v>
      </c>
      <c r="C14" s="169" t="s">
        <v>25</v>
      </c>
      <c r="D14" s="157" t="s">
        <v>37</v>
      </c>
      <c r="E14" s="173">
        <v>14.4</v>
      </c>
      <c r="F14" s="157" t="s">
        <v>6</v>
      </c>
      <c r="G14" s="164"/>
      <c r="H14" s="10"/>
      <c r="I14" s="10"/>
      <c r="J14" s="10"/>
      <c r="K14" s="42"/>
    </row>
    <row r="15" spans="2:11" ht="10.5" customHeight="1" x14ac:dyDescent="0.2">
      <c r="B15" s="171"/>
      <c r="C15" s="170"/>
      <c r="D15" s="156"/>
      <c r="E15" s="174"/>
      <c r="F15" s="156"/>
      <c r="G15" s="153"/>
      <c r="H15" s="11"/>
      <c r="I15" s="11"/>
      <c r="J15" s="11"/>
      <c r="K15" s="16"/>
    </row>
    <row r="16" spans="2:11" ht="10.5" customHeight="1" x14ac:dyDescent="0.2">
      <c r="B16" s="168" t="s">
        <v>37</v>
      </c>
      <c r="C16" s="169" t="s">
        <v>12</v>
      </c>
      <c r="D16" s="157" t="s">
        <v>37</v>
      </c>
      <c r="E16" s="173">
        <v>3.7</v>
      </c>
      <c r="F16" s="157" t="s">
        <v>6</v>
      </c>
      <c r="G16" s="164"/>
      <c r="H16" s="10"/>
      <c r="I16" s="10"/>
      <c r="J16" s="10"/>
      <c r="K16" s="42"/>
    </row>
    <row r="17" spans="2:11" ht="10.5" customHeight="1" x14ac:dyDescent="0.2">
      <c r="B17" s="171"/>
      <c r="C17" s="170"/>
      <c r="D17" s="156"/>
      <c r="E17" s="174"/>
      <c r="F17" s="156"/>
      <c r="G17" s="153"/>
      <c r="H17" s="11"/>
      <c r="I17" s="11"/>
      <c r="J17" s="11"/>
      <c r="K17" s="16"/>
    </row>
    <row r="18" spans="2:11" ht="10.5" customHeight="1" x14ac:dyDescent="0.2">
      <c r="B18" s="168" t="s">
        <v>37</v>
      </c>
      <c r="C18" s="169" t="s">
        <v>9</v>
      </c>
      <c r="D18" s="157" t="s">
        <v>37</v>
      </c>
      <c r="E18" s="173">
        <v>1.01</v>
      </c>
      <c r="F18" s="157" t="s">
        <v>6</v>
      </c>
      <c r="G18" s="164"/>
      <c r="H18" s="10"/>
      <c r="I18" s="10"/>
      <c r="J18" s="10"/>
      <c r="K18" s="42"/>
    </row>
    <row r="19" spans="2:11" ht="10.5" customHeight="1" x14ac:dyDescent="0.2">
      <c r="B19" s="171"/>
      <c r="C19" s="170"/>
      <c r="D19" s="156"/>
      <c r="E19" s="174"/>
      <c r="F19" s="156"/>
      <c r="G19" s="153"/>
      <c r="H19" s="11"/>
      <c r="I19" s="11"/>
      <c r="J19" s="11"/>
      <c r="K19" s="16"/>
    </row>
    <row r="20" spans="2:11" ht="10.5" customHeight="1" x14ac:dyDescent="0.2">
      <c r="B20" s="168" t="s">
        <v>37</v>
      </c>
      <c r="C20" s="169" t="s">
        <v>17</v>
      </c>
      <c r="D20" s="157" t="s">
        <v>37</v>
      </c>
      <c r="E20" s="173">
        <v>3.4950000000000001</v>
      </c>
      <c r="F20" s="157" t="s">
        <v>6</v>
      </c>
      <c r="G20" s="164"/>
      <c r="H20" s="10"/>
      <c r="I20" s="10"/>
      <c r="J20" s="10"/>
      <c r="K20" s="42"/>
    </row>
    <row r="21" spans="2:11" ht="10.5" customHeight="1" x14ac:dyDescent="0.2">
      <c r="B21" s="171"/>
      <c r="C21" s="170"/>
      <c r="D21" s="156"/>
      <c r="E21" s="174"/>
      <c r="F21" s="156"/>
      <c r="G21" s="153"/>
      <c r="H21" s="11"/>
      <c r="I21" s="11"/>
      <c r="J21" s="11"/>
      <c r="K21" s="16"/>
    </row>
    <row r="22" spans="2:11" ht="10.5" customHeight="1" x14ac:dyDescent="0.2">
      <c r="B22" s="168" t="s">
        <v>37</v>
      </c>
      <c r="C22" s="169" t="s">
        <v>27</v>
      </c>
      <c r="D22" s="157" t="s">
        <v>37</v>
      </c>
      <c r="E22" s="173">
        <v>4.5</v>
      </c>
      <c r="F22" s="157" t="s">
        <v>6</v>
      </c>
      <c r="G22" s="164"/>
      <c r="H22" s="10"/>
      <c r="I22" s="10"/>
      <c r="J22" s="10"/>
      <c r="K22" s="42"/>
    </row>
    <row r="23" spans="2:11" ht="10.5" customHeight="1" x14ac:dyDescent="0.2">
      <c r="B23" s="171"/>
      <c r="C23" s="170"/>
      <c r="D23" s="156"/>
      <c r="E23" s="174"/>
      <c r="F23" s="156"/>
      <c r="G23" s="153"/>
      <c r="H23" s="11"/>
      <c r="I23" s="11"/>
      <c r="J23" s="11"/>
      <c r="K23" s="16"/>
    </row>
    <row r="24" spans="2:11" ht="10.5" customHeight="1" x14ac:dyDescent="0.2">
      <c r="B24" s="168" t="s">
        <v>37</v>
      </c>
      <c r="C24" s="169" t="s">
        <v>32</v>
      </c>
      <c r="D24" s="157" t="s">
        <v>37</v>
      </c>
      <c r="E24" s="173">
        <v>12.27</v>
      </c>
      <c r="F24" s="157" t="s">
        <v>6</v>
      </c>
      <c r="G24" s="164"/>
      <c r="H24" s="10"/>
      <c r="I24" s="10"/>
      <c r="J24" s="10"/>
      <c r="K24" s="42"/>
    </row>
    <row r="25" spans="2:11" ht="10.5" customHeight="1" x14ac:dyDescent="0.2">
      <c r="B25" s="171"/>
      <c r="C25" s="170"/>
      <c r="D25" s="156"/>
      <c r="E25" s="174"/>
      <c r="F25" s="156"/>
      <c r="G25" s="153"/>
      <c r="H25" s="11"/>
      <c r="I25" s="11"/>
      <c r="J25" s="11"/>
      <c r="K25" s="16"/>
    </row>
    <row r="26" spans="2:11" ht="10.5" customHeight="1" x14ac:dyDescent="0.2">
      <c r="B26" s="168" t="s">
        <v>37</v>
      </c>
      <c r="C26" s="169" t="s">
        <v>399</v>
      </c>
      <c r="D26" s="157" t="s">
        <v>37</v>
      </c>
      <c r="E26" s="173">
        <v>2.2999999999999998</v>
      </c>
      <c r="F26" s="157" t="s">
        <v>6</v>
      </c>
      <c r="G26" s="164"/>
      <c r="H26" s="10"/>
      <c r="I26" s="10"/>
      <c r="J26" s="10"/>
      <c r="K26" s="42"/>
    </row>
    <row r="27" spans="2:11" ht="10.5" customHeight="1" x14ac:dyDescent="0.2">
      <c r="B27" s="171"/>
      <c r="C27" s="170"/>
      <c r="D27" s="156"/>
      <c r="E27" s="174"/>
      <c r="F27" s="156"/>
      <c r="G27" s="153"/>
      <c r="H27" s="11"/>
      <c r="I27" s="11"/>
      <c r="J27" s="11"/>
      <c r="K27" s="16"/>
    </row>
    <row r="28" spans="2:11" ht="10.5" customHeight="1" x14ac:dyDescent="0.2">
      <c r="B28" s="168" t="s">
        <v>37</v>
      </c>
      <c r="C28" s="169" t="s">
        <v>15</v>
      </c>
      <c r="D28" s="157" t="s">
        <v>37</v>
      </c>
      <c r="E28" s="173">
        <v>0.1</v>
      </c>
      <c r="F28" s="157" t="s">
        <v>6</v>
      </c>
      <c r="G28" s="164"/>
      <c r="H28" s="10"/>
      <c r="I28" s="10"/>
      <c r="J28" s="10"/>
      <c r="K28" s="42"/>
    </row>
    <row r="29" spans="2:11" ht="10.5" customHeight="1" x14ac:dyDescent="0.2">
      <c r="B29" s="171"/>
      <c r="C29" s="170"/>
      <c r="D29" s="156"/>
      <c r="E29" s="174"/>
      <c r="F29" s="156"/>
      <c r="G29" s="153"/>
      <c r="H29" s="11"/>
      <c r="I29" s="11"/>
      <c r="J29" s="11"/>
      <c r="K29" s="16"/>
    </row>
    <row r="30" spans="2:11" ht="10.5" customHeight="1" x14ac:dyDescent="0.2">
      <c r="B30" s="168" t="s">
        <v>37</v>
      </c>
      <c r="C30" s="169" t="s">
        <v>30</v>
      </c>
      <c r="D30" s="157" t="s">
        <v>37</v>
      </c>
      <c r="E30" s="173">
        <v>2.93</v>
      </c>
      <c r="F30" s="157" t="s">
        <v>6</v>
      </c>
      <c r="G30" s="164"/>
      <c r="H30" s="10"/>
      <c r="I30" s="10"/>
      <c r="J30" s="10"/>
      <c r="K30" s="42"/>
    </row>
    <row r="31" spans="2:11" ht="10.5" customHeight="1" x14ac:dyDescent="0.2">
      <c r="B31" s="171"/>
      <c r="C31" s="170"/>
      <c r="D31" s="156"/>
      <c r="E31" s="174"/>
      <c r="F31" s="156"/>
      <c r="G31" s="153"/>
      <c r="H31" s="11"/>
      <c r="I31" s="11"/>
      <c r="J31" s="11"/>
      <c r="K31" s="16"/>
    </row>
    <row r="32" spans="2:11" ht="10.5" customHeight="1" x14ac:dyDescent="0.2">
      <c r="B32" s="168" t="s">
        <v>37</v>
      </c>
      <c r="C32" s="169" t="s">
        <v>24</v>
      </c>
      <c r="D32" s="157" t="s">
        <v>37</v>
      </c>
      <c r="E32" s="173">
        <v>0.8</v>
      </c>
      <c r="F32" s="157" t="s">
        <v>6</v>
      </c>
      <c r="G32" s="164"/>
      <c r="H32" s="10"/>
      <c r="I32" s="10"/>
      <c r="J32" s="10"/>
      <c r="K32" s="42"/>
    </row>
    <row r="33" spans="2:11" ht="10.5" customHeight="1" x14ac:dyDescent="0.2">
      <c r="B33" s="171"/>
      <c r="C33" s="170"/>
      <c r="D33" s="156"/>
      <c r="E33" s="174"/>
      <c r="F33" s="156"/>
      <c r="G33" s="153"/>
      <c r="H33" s="11"/>
      <c r="I33" s="11"/>
      <c r="J33" s="11"/>
      <c r="K33" s="16"/>
    </row>
    <row r="34" spans="2:11" ht="10.5" hidden="1" customHeight="1" x14ac:dyDescent="0.2">
      <c r="B34" s="168" t="s">
        <v>37</v>
      </c>
      <c r="C34" s="169" t="s">
        <v>13</v>
      </c>
      <c r="D34" s="157" t="s">
        <v>37</v>
      </c>
      <c r="E34" s="175"/>
      <c r="F34" s="157" t="s">
        <v>37</v>
      </c>
      <c r="G34" s="164"/>
      <c r="H34" s="10"/>
      <c r="I34" s="10"/>
      <c r="J34" s="10"/>
      <c r="K34" s="42"/>
    </row>
    <row r="35" spans="2:11" ht="10.5" hidden="1" customHeight="1" x14ac:dyDescent="0.2">
      <c r="B35" s="171"/>
      <c r="C35" s="170"/>
      <c r="D35" s="156"/>
      <c r="E35" s="175"/>
      <c r="F35" s="156"/>
      <c r="G35" s="153"/>
      <c r="H35" s="11"/>
      <c r="I35" s="11"/>
      <c r="J35" s="11"/>
      <c r="K35" s="16"/>
    </row>
    <row r="36" spans="2:11" ht="10.5" customHeight="1" x14ac:dyDescent="0.2">
      <c r="B36" s="168" t="s">
        <v>37</v>
      </c>
      <c r="C36" s="169" t="s">
        <v>35</v>
      </c>
      <c r="D36" s="157" t="s">
        <v>37</v>
      </c>
      <c r="E36" s="177">
        <v>8.3000000000000007</v>
      </c>
      <c r="F36" s="157" t="s">
        <v>6</v>
      </c>
      <c r="G36" s="164"/>
      <c r="H36" s="10"/>
      <c r="I36" s="10"/>
      <c r="J36" s="10"/>
      <c r="K36" s="42"/>
    </row>
    <row r="37" spans="2:11" ht="10.5" customHeight="1" x14ac:dyDescent="0.2">
      <c r="B37" s="171"/>
      <c r="C37" s="170"/>
      <c r="D37" s="156"/>
      <c r="E37" s="177"/>
      <c r="F37" s="156"/>
      <c r="G37" s="153"/>
      <c r="H37" s="11"/>
      <c r="I37" s="11"/>
      <c r="J37" s="11"/>
      <c r="K37" s="16"/>
    </row>
    <row r="38" spans="2:11" ht="10.5" customHeight="1" x14ac:dyDescent="0.2">
      <c r="B38" s="168" t="s">
        <v>37</v>
      </c>
      <c r="C38" s="169" t="s">
        <v>33</v>
      </c>
      <c r="D38" s="157" t="s">
        <v>37</v>
      </c>
      <c r="E38" s="175"/>
      <c r="F38" s="157" t="s">
        <v>37</v>
      </c>
      <c r="G38" s="164"/>
      <c r="H38" s="10"/>
      <c r="I38" s="10"/>
      <c r="J38" s="10"/>
      <c r="K38" s="42"/>
    </row>
    <row r="39" spans="2:11" ht="10.5" customHeight="1" x14ac:dyDescent="0.2">
      <c r="B39" s="171"/>
      <c r="C39" s="170"/>
      <c r="D39" s="156"/>
      <c r="E39" s="175"/>
      <c r="F39" s="156"/>
      <c r="G39" s="153"/>
      <c r="H39" s="11"/>
      <c r="I39" s="11"/>
      <c r="J39" s="11"/>
      <c r="K39" s="16"/>
    </row>
    <row r="40" spans="2:11" ht="10.5" customHeight="1" x14ac:dyDescent="0.2">
      <c r="B40" s="168" t="s">
        <v>37</v>
      </c>
      <c r="C40" s="169" t="s">
        <v>29</v>
      </c>
      <c r="D40" s="157" t="s">
        <v>37</v>
      </c>
      <c r="E40" s="175">
        <v>6</v>
      </c>
      <c r="F40" s="157" t="s">
        <v>6</v>
      </c>
      <c r="G40" s="164"/>
      <c r="H40" s="10"/>
      <c r="I40" s="10"/>
      <c r="J40" s="10"/>
      <c r="K40" s="42"/>
    </row>
    <row r="41" spans="2:11" ht="10.5" customHeight="1" x14ac:dyDescent="0.2">
      <c r="B41" s="171"/>
      <c r="C41" s="170"/>
      <c r="D41" s="156"/>
      <c r="E41" s="175"/>
      <c r="F41" s="156"/>
      <c r="G41" s="153"/>
      <c r="H41" s="11"/>
      <c r="I41" s="11"/>
      <c r="J41" s="11"/>
      <c r="K41" s="16"/>
    </row>
    <row r="42" spans="2:11" ht="10.5" customHeight="1" x14ac:dyDescent="0.2">
      <c r="B42" s="168" t="s">
        <v>37</v>
      </c>
      <c r="C42" s="169" t="s">
        <v>8</v>
      </c>
      <c r="D42" s="157" t="s">
        <v>37</v>
      </c>
      <c r="E42" s="175">
        <v>15</v>
      </c>
      <c r="F42" s="157" t="s">
        <v>6</v>
      </c>
      <c r="G42" s="164"/>
      <c r="H42" s="10"/>
      <c r="I42" s="10"/>
      <c r="J42" s="10"/>
      <c r="K42" s="42"/>
    </row>
    <row r="43" spans="2:11" ht="10.5" customHeight="1" x14ac:dyDescent="0.2">
      <c r="B43" s="171"/>
      <c r="C43" s="170"/>
      <c r="D43" s="156"/>
      <c r="E43" s="175"/>
      <c r="F43" s="156"/>
      <c r="G43" s="153"/>
      <c r="H43" s="11"/>
      <c r="I43" s="11"/>
      <c r="J43" s="11"/>
      <c r="K43" s="16"/>
    </row>
    <row r="44" spans="2:11" ht="10.5" customHeight="1" x14ac:dyDescent="0.2">
      <c r="B44" s="168" t="s">
        <v>37</v>
      </c>
      <c r="C44" s="169" t="s">
        <v>28</v>
      </c>
      <c r="D44" s="157" t="s">
        <v>37</v>
      </c>
      <c r="E44" s="175"/>
      <c r="F44" s="157" t="s">
        <v>37</v>
      </c>
      <c r="G44" s="164"/>
      <c r="H44" s="10"/>
      <c r="I44" s="10"/>
      <c r="J44" s="10"/>
      <c r="K44" s="42"/>
    </row>
    <row r="45" spans="2:11" ht="10.5" customHeight="1" x14ac:dyDescent="0.2">
      <c r="B45" s="171"/>
      <c r="C45" s="170"/>
      <c r="D45" s="156"/>
      <c r="E45" s="175"/>
      <c r="F45" s="156"/>
      <c r="G45" s="153"/>
      <c r="H45" s="11"/>
      <c r="I45" s="11"/>
      <c r="J45" s="11"/>
      <c r="K45" s="16"/>
    </row>
    <row r="46" spans="2:11" ht="10.5" customHeight="1" x14ac:dyDescent="0.2">
      <c r="B46" s="168" t="s">
        <v>37</v>
      </c>
      <c r="C46" s="169" t="s">
        <v>5</v>
      </c>
      <c r="D46" s="157" t="s">
        <v>37</v>
      </c>
      <c r="E46" s="175">
        <v>10</v>
      </c>
      <c r="F46" s="157" t="s">
        <v>6</v>
      </c>
      <c r="G46" s="164"/>
      <c r="H46" s="10"/>
      <c r="I46" s="10"/>
      <c r="J46" s="10"/>
      <c r="K46" s="42"/>
    </row>
    <row r="47" spans="2:11" ht="10.5" customHeight="1" x14ac:dyDescent="0.2">
      <c r="B47" s="171"/>
      <c r="C47" s="170"/>
      <c r="D47" s="156"/>
      <c r="E47" s="175"/>
      <c r="F47" s="156"/>
      <c r="G47" s="153"/>
      <c r="H47" s="11"/>
      <c r="I47" s="11"/>
      <c r="J47" s="11"/>
      <c r="K47" s="16"/>
    </row>
    <row r="48" spans="2:11" ht="10.5" customHeight="1" x14ac:dyDescent="0.2">
      <c r="B48" s="168" t="s">
        <v>37</v>
      </c>
      <c r="C48" s="169" t="s">
        <v>1</v>
      </c>
      <c r="D48" s="157" t="s">
        <v>37</v>
      </c>
      <c r="E48" s="164"/>
      <c r="F48" s="157" t="s">
        <v>37</v>
      </c>
      <c r="G48" s="164"/>
      <c r="H48" s="10"/>
      <c r="I48" s="10"/>
      <c r="J48" s="10"/>
      <c r="K48" s="42"/>
    </row>
    <row r="49" spans="2:11" ht="10.5" customHeight="1" x14ac:dyDescent="0.2">
      <c r="B49" s="171"/>
      <c r="C49" s="170"/>
      <c r="D49" s="156"/>
      <c r="E49" s="152"/>
      <c r="F49" s="156"/>
      <c r="G49" s="153"/>
      <c r="H49" s="11"/>
      <c r="I49" s="11"/>
      <c r="J49" s="11"/>
      <c r="K49" s="16"/>
    </row>
    <row r="50" spans="2:11" ht="10.5" customHeight="1" x14ac:dyDescent="0.2">
      <c r="B50" s="168" t="s">
        <v>37</v>
      </c>
      <c r="C50" s="169" t="s">
        <v>87</v>
      </c>
      <c r="D50" s="157" t="s">
        <v>88</v>
      </c>
      <c r="E50" s="162">
        <v>1</v>
      </c>
      <c r="F50" s="187" t="s">
        <v>398</v>
      </c>
      <c r="G50" s="162"/>
      <c r="H50" s="40"/>
      <c r="I50" s="10"/>
      <c r="J50" s="10"/>
      <c r="K50" s="42"/>
    </row>
    <row r="51" spans="2:11" ht="10.5" customHeight="1" x14ac:dyDescent="0.2">
      <c r="B51" s="171"/>
      <c r="C51" s="170"/>
      <c r="D51" s="156"/>
      <c r="E51" s="163"/>
      <c r="F51" s="188"/>
      <c r="G51" s="163"/>
      <c r="H51" s="61"/>
      <c r="I51" s="11"/>
      <c r="J51" s="11"/>
      <c r="K51" s="16"/>
    </row>
    <row r="52" spans="2:11" ht="10.5" customHeight="1" x14ac:dyDescent="0.2">
      <c r="B52" s="168" t="s">
        <v>37</v>
      </c>
      <c r="C52" s="169" t="s">
        <v>11</v>
      </c>
      <c r="D52" s="157" t="s">
        <v>37</v>
      </c>
      <c r="E52" s="164"/>
      <c r="F52" s="157" t="s">
        <v>37</v>
      </c>
      <c r="G52" s="164"/>
      <c r="H52" s="10"/>
      <c r="I52" s="10"/>
      <c r="J52" s="10"/>
      <c r="K52" s="42"/>
    </row>
    <row r="53" spans="2:11" ht="10.5" customHeight="1" x14ac:dyDescent="0.2">
      <c r="B53" s="154"/>
      <c r="C53" s="172"/>
      <c r="D53" s="176"/>
      <c r="E53" s="165"/>
      <c r="F53" s="176"/>
      <c r="G53" s="165"/>
      <c r="H53" s="73"/>
      <c r="I53" s="73"/>
      <c r="J53" s="73"/>
      <c r="K53" s="74"/>
    </row>
    <row r="54" spans="2:11" x14ac:dyDescent="0.2">
      <c r="B54" s="4"/>
      <c r="C54" s="4"/>
      <c r="D54" s="4"/>
      <c r="E54" s="4"/>
      <c r="F54" s="4"/>
      <c r="G54" s="4"/>
      <c r="H54" s="4"/>
      <c r="I54" s="4"/>
      <c r="J54" s="4"/>
      <c r="K54" s="4"/>
    </row>
  </sheetData>
  <mergeCells count="164">
    <mergeCell ref="F26:F27"/>
    <mergeCell ref="G26:G27"/>
    <mergeCell ref="F12:F13"/>
    <mergeCell ref="D14:D15"/>
    <mergeCell ref="D16:D17"/>
    <mergeCell ref="F14:F15"/>
    <mergeCell ref="F16:F17"/>
    <mergeCell ref="E14:E15"/>
    <mergeCell ref="E16:E17"/>
    <mergeCell ref="E18:E19"/>
    <mergeCell ref="E20:E21"/>
    <mergeCell ref="B6:B7"/>
    <mergeCell ref="B10:B11"/>
    <mergeCell ref="B8:B9"/>
    <mergeCell ref="C8:C9"/>
    <mergeCell ref="D8:D9"/>
    <mergeCell ref="C6:C7"/>
    <mergeCell ref="D6:D7"/>
    <mergeCell ref="E8:E9"/>
    <mergeCell ref="F8:F9"/>
    <mergeCell ref="C10:C11"/>
    <mergeCell ref="D10:D11"/>
    <mergeCell ref="E10:E11"/>
    <mergeCell ref="F10:F11"/>
    <mergeCell ref="E6:E7"/>
    <mergeCell ref="F6:F7"/>
    <mergeCell ref="B50:B51"/>
    <mergeCell ref="C50:C51"/>
    <mergeCell ref="D50:D51"/>
    <mergeCell ref="E50:E51"/>
    <mergeCell ref="F50:F51"/>
    <mergeCell ref="D12:D13"/>
    <mergeCell ref="D18:D19"/>
    <mergeCell ref="D20:D21"/>
    <mergeCell ref="D22:D23"/>
    <mergeCell ref="D24:D25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E40:E41"/>
    <mergeCell ref="E46:E47"/>
    <mergeCell ref="E12:E13"/>
    <mergeCell ref="B1:K2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D52:D53"/>
    <mergeCell ref="F18:F19"/>
    <mergeCell ref="F20:F21"/>
    <mergeCell ref="F22:F23"/>
    <mergeCell ref="F24:F25"/>
    <mergeCell ref="F28:F29"/>
    <mergeCell ref="F52:F53"/>
    <mergeCell ref="F44:F45"/>
    <mergeCell ref="F46:F47"/>
    <mergeCell ref="F48:F49"/>
    <mergeCell ref="F40:F41"/>
    <mergeCell ref="E52:E53"/>
    <mergeCell ref="E48:E49"/>
    <mergeCell ref="E44:E45"/>
    <mergeCell ref="E42:E43"/>
    <mergeCell ref="F30:F31"/>
    <mergeCell ref="F32:F33"/>
    <mergeCell ref="F34:F35"/>
    <mergeCell ref="F36:F37"/>
    <mergeCell ref="F38:F39"/>
    <mergeCell ref="F42:F43"/>
    <mergeCell ref="E30:E31"/>
    <mergeCell ref="E32:E33"/>
    <mergeCell ref="E36:E37"/>
    <mergeCell ref="E28:E29"/>
    <mergeCell ref="E22:E23"/>
    <mergeCell ref="E24:E25"/>
    <mergeCell ref="E38:E39"/>
    <mergeCell ref="E34:E35"/>
    <mergeCell ref="B12:B13"/>
    <mergeCell ref="B14:B15"/>
    <mergeCell ref="B16:B17"/>
    <mergeCell ref="B18:B19"/>
    <mergeCell ref="B20:B21"/>
    <mergeCell ref="B22:B23"/>
    <mergeCell ref="B24:B25"/>
    <mergeCell ref="B28:B29"/>
    <mergeCell ref="B30:B31"/>
    <mergeCell ref="B32:B33"/>
    <mergeCell ref="B34:B35"/>
    <mergeCell ref="B26:B27"/>
    <mergeCell ref="C26:C27"/>
    <mergeCell ref="D26:D27"/>
    <mergeCell ref="E26:E27"/>
    <mergeCell ref="C38:C39"/>
    <mergeCell ref="B40:B41"/>
    <mergeCell ref="B42:B43"/>
    <mergeCell ref="B44:B45"/>
    <mergeCell ref="C40:C41"/>
    <mergeCell ref="B48:B49"/>
    <mergeCell ref="C30:C31"/>
    <mergeCell ref="C44:C45"/>
    <mergeCell ref="B46:B47"/>
    <mergeCell ref="B36:B37"/>
    <mergeCell ref="C46:C47"/>
    <mergeCell ref="G6:G7"/>
    <mergeCell ref="H6:H7"/>
    <mergeCell ref="I6:I7"/>
    <mergeCell ref="J6:J7"/>
    <mergeCell ref="G8:G9"/>
    <mergeCell ref="H8:H9"/>
    <mergeCell ref="I8:I9"/>
    <mergeCell ref="J8:J9"/>
    <mergeCell ref="B52:B53"/>
    <mergeCell ref="C12:C13"/>
    <mergeCell ref="C14:C15"/>
    <mergeCell ref="C16:C17"/>
    <mergeCell ref="C18:C19"/>
    <mergeCell ref="C20:C21"/>
    <mergeCell ref="C22:C23"/>
    <mergeCell ref="C24:C25"/>
    <mergeCell ref="C42:C43"/>
    <mergeCell ref="B38:B39"/>
    <mergeCell ref="C28:C29"/>
    <mergeCell ref="C48:C49"/>
    <mergeCell ref="C52:C53"/>
    <mergeCell ref="C32:C33"/>
    <mergeCell ref="C34:C35"/>
    <mergeCell ref="C36:C37"/>
    <mergeCell ref="G10:G11"/>
    <mergeCell ref="I10:I11"/>
    <mergeCell ref="G12:G13"/>
    <mergeCell ref="H12:H13"/>
    <mergeCell ref="I12:I13"/>
    <mergeCell ref="J12:J13"/>
    <mergeCell ref="G14:G15"/>
    <mergeCell ref="G16:G17"/>
    <mergeCell ref="G48:G49"/>
    <mergeCell ref="G18:G19"/>
    <mergeCell ref="G20:G21"/>
    <mergeCell ref="G22:G23"/>
    <mergeCell ref="G24:G25"/>
    <mergeCell ref="G28:G29"/>
    <mergeCell ref="G30:G31"/>
    <mergeCell ref="G50:G51"/>
    <mergeCell ref="G32:G33"/>
    <mergeCell ref="G34:G35"/>
    <mergeCell ref="G36:G37"/>
    <mergeCell ref="G38:G39"/>
    <mergeCell ref="G52:G53"/>
    <mergeCell ref="G40:G41"/>
    <mergeCell ref="G42:G43"/>
    <mergeCell ref="G44:G45"/>
    <mergeCell ref="G46:G47"/>
  </mergeCells>
  <phoneticPr fontId="5" type="noConversion"/>
  <pageMargins left="0.78740157480314965" right="0.27559055118110237" top="0.6692913385826772" bottom="0.59055118110236227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28"/>
  <sheetViews>
    <sheetView showGridLines="0" view="pageBreakPreview" zoomScaleNormal="100" zoomScaleSheetLayoutView="100" workbookViewId="0">
      <pane ySplit="4" topLeftCell="A5" activePane="bottomLeft" state="frozen"/>
      <selection activeCell="U4" sqref="U4"/>
      <selection pane="bottomLeft" activeCell="R5" sqref="P1:R5"/>
    </sheetView>
  </sheetViews>
  <sheetFormatPr defaultRowHeight="12.75" x14ac:dyDescent="0.2"/>
  <cols>
    <col min="1" max="1" width="0.7109375" customWidth="1"/>
    <col min="2" max="2" width="5" customWidth="1"/>
    <col min="3" max="3" width="34.42578125" bestFit="1" customWidth="1"/>
    <col min="4" max="4" width="27.7109375" bestFit="1" customWidth="1"/>
    <col min="5" max="5" width="6.85546875" style="8" customWidth="1"/>
    <col min="6" max="6" width="6" bestFit="1" customWidth="1"/>
    <col min="7" max="7" width="11.28515625" customWidth="1"/>
    <col min="8" max="8" width="12.140625" customWidth="1"/>
    <col min="9" max="9" width="11" customWidth="1"/>
    <col min="10" max="10" width="12.140625" customWidth="1"/>
    <col min="11" max="11" width="10.7109375" customWidth="1"/>
    <col min="12" max="12" width="12" customWidth="1"/>
    <col min="13" max="13" width="11" customWidth="1"/>
    <col min="14" max="14" width="12" customWidth="1"/>
    <col min="15" max="15" width="11.28515625" bestFit="1" customWidth="1"/>
    <col min="17" max="19" width="11.5703125" bestFit="1" customWidth="1"/>
    <col min="20" max="20" width="12" bestFit="1" customWidth="1"/>
    <col min="21" max="22" width="11" bestFit="1" customWidth="1"/>
    <col min="23" max="23" width="11" customWidth="1"/>
    <col min="24" max="24" width="9.85546875" bestFit="1" customWidth="1"/>
    <col min="25" max="25" width="11" bestFit="1" customWidth="1"/>
  </cols>
  <sheetData>
    <row r="1" spans="2:23" ht="24.95" customHeight="1" x14ac:dyDescent="0.2">
      <c r="B1" s="203" t="s">
        <v>57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2:23" ht="9.9499999999999993" customHeight="1" x14ac:dyDescent="0.2"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</row>
    <row r="3" spans="2:23" ht="15.4" customHeight="1" x14ac:dyDescent="0.2">
      <c r="B3" s="189" t="s">
        <v>36</v>
      </c>
      <c r="C3" s="205" t="s">
        <v>21</v>
      </c>
      <c r="D3" s="205" t="s">
        <v>23</v>
      </c>
      <c r="E3" s="205" t="s">
        <v>2</v>
      </c>
      <c r="F3" s="205" t="s">
        <v>10</v>
      </c>
      <c r="G3" s="209" t="s">
        <v>34</v>
      </c>
      <c r="H3" s="210"/>
      <c r="I3" s="209" t="s">
        <v>26</v>
      </c>
      <c r="J3" s="210"/>
      <c r="K3" s="209" t="s">
        <v>19</v>
      </c>
      <c r="L3" s="210"/>
      <c r="M3" s="209" t="s">
        <v>4</v>
      </c>
      <c r="N3" s="210"/>
      <c r="O3" s="207" t="s">
        <v>7</v>
      </c>
      <c r="Q3" s="14"/>
      <c r="R3" s="8"/>
      <c r="S3" s="8"/>
      <c r="T3" s="14"/>
      <c r="U3" s="8"/>
      <c r="V3" s="8"/>
      <c r="W3" s="8"/>
    </row>
    <row r="4" spans="2:23" ht="19.7" customHeight="1" x14ac:dyDescent="0.2">
      <c r="B4" s="204"/>
      <c r="C4" s="206"/>
      <c r="D4" s="206"/>
      <c r="E4" s="206"/>
      <c r="F4" s="206"/>
      <c r="G4" s="89" t="s">
        <v>0</v>
      </c>
      <c r="H4" s="88" t="s">
        <v>16</v>
      </c>
      <c r="I4" s="89" t="s">
        <v>0</v>
      </c>
      <c r="J4" s="88" t="s">
        <v>16</v>
      </c>
      <c r="K4" s="89" t="s">
        <v>0</v>
      </c>
      <c r="L4" s="88" t="s">
        <v>16</v>
      </c>
      <c r="M4" s="89" t="s">
        <v>0</v>
      </c>
      <c r="N4" s="88" t="s">
        <v>16</v>
      </c>
      <c r="O4" s="208"/>
      <c r="Q4" s="8"/>
      <c r="R4" s="8"/>
      <c r="S4" s="8"/>
      <c r="T4" s="8"/>
      <c r="U4" s="8"/>
      <c r="V4" s="8"/>
    </row>
    <row r="5" spans="2:23" ht="13.5" customHeight="1" x14ac:dyDescent="0.2">
      <c r="B5" s="189" t="s">
        <v>14</v>
      </c>
      <c r="C5" s="191" t="s">
        <v>58</v>
      </c>
      <c r="D5" s="191" t="s">
        <v>37</v>
      </c>
      <c r="E5" s="193"/>
      <c r="F5" s="202" t="s">
        <v>37</v>
      </c>
      <c r="G5" s="75"/>
      <c r="H5" s="201"/>
      <c r="I5" s="75"/>
      <c r="J5" s="201"/>
      <c r="K5" s="75"/>
      <c r="L5" s="201"/>
      <c r="M5" s="75"/>
      <c r="N5" s="201"/>
      <c r="O5" s="76" t="s">
        <v>37</v>
      </c>
      <c r="Q5" s="8"/>
      <c r="R5" s="8"/>
      <c r="S5" s="15"/>
    </row>
    <row r="6" spans="2:23" ht="13.5" customHeight="1" x14ac:dyDescent="0.2">
      <c r="B6" s="190"/>
      <c r="C6" s="192"/>
      <c r="D6" s="192"/>
      <c r="E6" s="188"/>
      <c r="F6" s="197"/>
      <c r="G6" s="59"/>
      <c r="H6" s="200"/>
      <c r="I6" s="132"/>
      <c r="J6" s="200"/>
      <c r="K6" s="132"/>
      <c r="L6" s="200"/>
      <c r="M6" s="132"/>
      <c r="N6" s="200"/>
      <c r="O6" s="18"/>
    </row>
    <row r="7" spans="2:23" s="63" customFormat="1" ht="24.95" customHeight="1" x14ac:dyDescent="0.2">
      <c r="B7" s="136"/>
      <c r="C7" s="147" t="s">
        <v>404</v>
      </c>
      <c r="D7" s="147" t="s">
        <v>405</v>
      </c>
      <c r="E7" s="146">
        <v>100</v>
      </c>
      <c r="F7" s="146" t="s">
        <v>20</v>
      </c>
      <c r="G7" s="131"/>
      <c r="H7" s="144"/>
      <c r="I7" s="131"/>
      <c r="J7" s="19"/>
      <c r="K7" s="131"/>
      <c r="L7" s="19"/>
      <c r="M7" s="131"/>
      <c r="N7" s="19"/>
      <c r="O7" s="137"/>
    </row>
    <row r="8" spans="2:23" s="63" customFormat="1" ht="24.95" customHeight="1" x14ac:dyDescent="0.2">
      <c r="B8" s="136"/>
      <c r="C8" s="147" t="s">
        <v>406</v>
      </c>
      <c r="D8" s="147" t="s">
        <v>405</v>
      </c>
      <c r="E8" s="146">
        <v>100</v>
      </c>
      <c r="F8" s="146" t="s">
        <v>20</v>
      </c>
      <c r="G8" s="144"/>
      <c r="H8" s="144"/>
      <c r="I8" s="144"/>
      <c r="J8" s="19"/>
      <c r="K8" s="144"/>
      <c r="L8" s="19"/>
      <c r="M8" s="144"/>
      <c r="N8" s="19"/>
      <c r="O8" s="137"/>
    </row>
    <row r="9" spans="2:23" s="63" customFormat="1" ht="24.95" customHeight="1" x14ac:dyDescent="0.2">
      <c r="B9" s="62" t="s">
        <v>37</v>
      </c>
      <c r="C9" s="147" t="s">
        <v>407</v>
      </c>
      <c r="D9" s="147" t="s">
        <v>408</v>
      </c>
      <c r="E9" s="146">
        <v>100</v>
      </c>
      <c r="F9" s="146" t="s">
        <v>20</v>
      </c>
      <c r="G9" s="144"/>
      <c r="H9" s="144"/>
      <c r="I9" s="144"/>
      <c r="J9" s="19"/>
      <c r="K9" s="144"/>
      <c r="L9" s="19"/>
      <c r="M9" s="144"/>
      <c r="N9" s="19"/>
      <c r="O9" s="137"/>
    </row>
    <row r="10" spans="2:23" s="63" customFormat="1" ht="24.95" customHeight="1" x14ac:dyDescent="0.2">
      <c r="B10" s="62"/>
      <c r="C10" s="147" t="s">
        <v>409</v>
      </c>
      <c r="D10" s="147" t="s">
        <v>408</v>
      </c>
      <c r="E10" s="146">
        <v>100</v>
      </c>
      <c r="F10" s="146" t="s">
        <v>20</v>
      </c>
      <c r="G10" s="144"/>
      <c r="H10" s="144"/>
      <c r="I10" s="144"/>
      <c r="J10" s="19"/>
      <c r="K10" s="144"/>
      <c r="L10" s="19"/>
      <c r="M10" s="144"/>
      <c r="N10" s="19"/>
      <c r="O10" s="137"/>
    </row>
    <row r="11" spans="2:23" s="63" customFormat="1" ht="24.95" customHeight="1" x14ac:dyDescent="0.2">
      <c r="B11" s="62" t="s">
        <v>37</v>
      </c>
      <c r="C11" s="147" t="s">
        <v>410</v>
      </c>
      <c r="D11" s="147" t="s">
        <v>411</v>
      </c>
      <c r="E11" s="146">
        <v>1</v>
      </c>
      <c r="F11" s="146" t="s">
        <v>412</v>
      </c>
      <c r="G11" s="144"/>
      <c r="H11" s="144"/>
      <c r="I11" s="144"/>
      <c r="J11" s="19"/>
      <c r="K11" s="144"/>
      <c r="L11" s="19"/>
      <c r="M11" s="144"/>
      <c r="N11" s="19"/>
      <c r="O11" s="137"/>
    </row>
    <row r="12" spans="2:23" s="63" customFormat="1" ht="24.95" customHeight="1" x14ac:dyDescent="0.2">
      <c r="B12" s="62"/>
      <c r="C12" s="147" t="s">
        <v>413</v>
      </c>
      <c r="D12" s="147" t="s">
        <v>411</v>
      </c>
      <c r="E12" s="146">
        <v>1</v>
      </c>
      <c r="F12" s="146" t="s">
        <v>412</v>
      </c>
      <c r="G12" s="144"/>
      <c r="H12" s="144"/>
      <c r="I12" s="144"/>
      <c r="J12" s="19"/>
      <c r="K12" s="144"/>
      <c r="L12" s="19"/>
      <c r="M12" s="144"/>
      <c r="N12" s="19"/>
      <c r="O12" s="137"/>
    </row>
    <row r="13" spans="2:23" s="63" customFormat="1" ht="24.95" customHeight="1" x14ac:dyDescent="0.2">
      <c r="B13" s="62" t="s">
        <v>37</v>
      </c>
      <c r="C13" s="147" t="s">
        <v>414</v>
      </c>
      <c r="D13" s="147" t="s">
        <v>415</v>
      </c>
      <c r="E13" s="146">
        <v>100</v>
      </c>
      <c r="F13" s="146" t="s">
        <v>20</v>
      </c>
      <c r="G13" s="144"/>
      <c r="H13" s="144"/>
      <c r="I13" s="144"/>
      <c r="J13" s="19"/>
      <c r="K13" s="144"/>
      <c r="L13" s="19"/>
      <c r="M13" s="144"/>
      <c r="N13" s="19"/>
      <c r="O13" s="137"/>
      <c r="Q13" s="133"/>
      <c r="R13" s="138"/>
    </row>
    <row r="14" spans="2:23" s="63" customFormat="1" ht="24.95" customHeight="1" x14ac:dyDescent="0.2">
      <c r="B14" s="62"/>
      <c r="C14" s="147" t="s">
        <v>416</v>
      </c>
      <c r="D14" s="147" t="s">
        <v>415</v>
      </c>
      <c r="E14" s="146">
        <v>100</v>
      </c>
      <c r="F14" s="146" t="s">
        <v>20</v>
      </c>
      <c r="G14" s="144"/>
      <c r="H14" s="144"/>
      <c r="I14" s="144"/>
      <c r="J14" s="19"/>
      <c r="K14" s="144"/>
      <c r="L14" s="19"/>
      <c r="M14" s="144"/>
      <c r="N14" s="19"/>
      <c r="O14" s="137"/>
      <c r="Q14" s="133"/>
      <c r="R14" s="138"/>
    </row>
    <row r="15" spans="2:23" s="63" customFormat="1" ht="24.95" customHeight="1" x14ac:dyDescent="0.2">
      <c r="B15" s="62" t="s">
        <v>37</v>
      </c>
      <c r="C15" s="147" t="s">
        <v>417</v>
      </c>
      <c r="D15" s="147" t="s">
        <v>418</v>
      </c>
      <c r="E15" s="146">
        <v>15</v>
      </c>
      <c r="F15" s="146" t="s">
        <v>20</v>
      </c>
      <c r="G15" s="144"/>
      <c r="H15" s="144"/>
      <c r="I15" s="144"/>
      <c r="J15" s="19"/>
      <c r="K15" s="144"/>
      <c r="L15" s="19"/>
      <c r="M15" s="144"/>
      <c r="N15" s="19"/>
      <c r="O15" s="137"/>
      <c r="Q15" s="133"/>
      <c r="R15" s="138"/>
    </row>
    <row r="16" spans="2:23" s="63" customFormat="1" ht="24.95" customHeight="1" x14ac:dyDescent="0.2">
      <c r="B16" s="62"/>
      <c r="C16" s="147" t="s">
        <v>419</v>
      </c>
      <c r="D16" s="147" t="s">
        <v>418</v>
      </c>
      <c r="E16" s="146">
        <v>15</v>
      </c>
      <c r="F16" s="146" t="s">
        <v>20</v>
      </c>
      <c r="G16" s="144"/>
      <c r="H16" s="144"/>
      <c r="I16" s="144"/>
      <c r="J16" s="19"/>
      <c r="K16" s="144"/>
      <c r="L16" s="19"/>
      <c r="M16" s="144"/>
      <c r="N16" s="19"/>
      <c r="O16" s="137"/>
      <c r="Q16" s="133"/>
      <c r="R16" s="138"/>
    </row>
    <row r="17" spans="2:18" s="63" customFormat="1" ht="24.95" customHeight="1" x14ac:dyDescent="0.2">
      <c r="B17" s="62" t="s">
        <v>37</v>
      </c>
      <c r="C17" s="147" t="s">
        <v>420</v>
      </c>
      <c r="D17" s="147" t="s">
        <v>418</v>
      </c>
      <c r="E17" s="146">
        <v>15</v>
      </c>
      <c r="F17" s="146" t="s">
        <v>20</v>
      </c>
      <c r="G17" s="144"/>
      <c r="H17" s="144"/>
      <c r="I17" s="144"/>
      <c r="J17" s="19"/>
      <c r="K17" s="144"/>
      <c r="L17" s="19"/>
      <c r="M17" s="144"/>
      <c r="N17" s="19"/>
      <c r="O17" s="137"/>
      <c r="Q17" s="133"/>
      <c r="R17" s="138"/>
    </row>
    <row r="18" spans="2:18" s="63" customFormat="1" ht="24.95" customHeight="1" x14ac:dyDescent="0.2">
      <c r="B18" s="62"/>
      <c r="C18" s="147" t="s">
        <v>421</v>
      </c>
      <c r="D18" s="147" t="s">
        <v>418</v>
      </c>
      <c r="E18" s="146">
        <v>15</v>
      </c>
      <c r="F18" s="146" t="s">
        <v>20</v>
      </c>
      <c r="G18" s="144"/>
      <c r="H18" s="144"/>
      <c r="I18" s="144"/>
      <c r="J18" s="19"/>
      <c r="K18" s="144"/>
      <c r="L18" s="19"/>
      <c r="M18" s="144"/>
      <c r="N18" s="19"/>
      <c r="O18" s="137"/>
      <c r="Q18" s="133"/>
      <c r="R18" s="138"/>
    </row>
    <row r="19" spans="2:18" s="63" customFormat="1" ht="24.95" customHeight="1" x14ac:dyDescent="0.2">
      <c r="B19" s="62" t="s">
        <v>37</v>
      </c>
      <c r="C19" s="147" t="s">
        <v>422</v>
      </c>
      <c r="D19" s="147" t="s">
        <v>418</v>
      </c>
      <c r="E19" s="146">
        <v>15</v>
      </c>
      <c r="F19" s="146" t="s">
        <v>20</v>
      </c>
      <c r="G19" s="144"/>
      <c r="H19" s="144"/>
      <c r="I19" s="144"/>
      <c r="J19" s="19"/>
      <c r="K19" s="144"/>
      <c r="L19" s="19"/>
      <c r="M19" s="144"/>
      <c r="N19" s="19"/>
      <c r="O19" s="137"/>
    </row>
    <row r="20" spans="2:18" s="63" customFormat="1" ht="24.95" customHeight="1" x14ac:dyDescent="0.2">
      <c r="B20" s="62"/>
      <c r="C20" s="147" t="s">
        <v>423</v>
      </c>
      <c r="D20" s="147" t="s">
        <v>418</v>
      </c>
      <c r="E20" s="146">
        <v>15</v>
      </c>
      <c r="F20" s="146" t="s">
        <v>20</v>
      </c>
      <c r="G20" s="144"/>
      <c r="H20" s="144"/>
      <c r="I20" s="144"/>
      <c r="J20" s="19"/>
      <c r="K20" s="144"/>
      <c r="L20" s="19"/>
      <c r="M20" s="144"/>
      <c r="N20" s="19"/>
      <c r="O20" s="137"/>
    </row>
    <row r="21" spans="2:18" s="63" customFormat="1" ht="24.95" customHeight="1" x14ac:dyDescent="0.2">
      <c r="B21" s="62" t="s">
        <v>37</v>
      </c>
      <c r="C21" s="147" t="s">
        <v>424</v>
      </c>
      <c r="D21" s="147" t="s">
        <v>425</v>
      </c>
      <c r="E21" s="146">
        <v>15</v>
      </c>
      <c r="F21" s="146" t="s">
        <v>20</v>
      </c>
      <c r="G21" s="144"/>
      <c r="H21" s="144"/>
      <c r="I21" s="144"/>
      <c r="J21" s="19"/>
      <c r="K21" s="144"/>
      <c r="L21" s="19"/>
      <c r="M21" s="144"/>
      <c r="N21" s="19"/>
      <c r="O21" s="137"/>
    </row>
    <row r="22" spans="2:18" s="63" customFormat="1" ht="24.95" customHeight="1" x14ac:dyDescent="0.2">
      <c r="B22" s="62"/>
      <c r="C22" s="147" t="s">
        <v>426</v>
      </c>
      <c r="D22" s="147" t="s">
        <v>425</v>
      </c>
      <c r="E22" s="146">
        <v>15</v>
      </c>
      <c r="F22" s="146" t="s">
        <v>20</v>
      </c>
      <c r="G22" s="144"/>
      <c r="H22" s="144"/>
      <c r="I22" s="144"/>
      <c r="J22" s="19"/>
      <c r="K22" s="144"/>
      <c r="L22" s="19"/>
      <c r="M22" s="144"/>
      <c r="N22" s="19"/>
      <c r="O22" s="137"/>
    </row>
    <row r="23" spans="2:18" s="63" customFormat="1" ht="24.95" customHeight="1" x14ac:dyDescent="0.2">
      <c r="B23" s="62" t="s">
        <v>37</v>
      </c>
      <c r="C23" s="147" t="s">
        <v>427</v>
      </c>
      <c r="D23" s="147" t="s">
        <v>428</v>
      </c>
      <c r="E23" s="146">
        <v>10</v>
      </c>
      <c r="F23" s="146" t="s">
        <v>20</v>
      </c>
      <c r="G23" s="144"/>
      <c r="H23" s="144"/>
      <c r="I23" s="144"/>
      <c r="J23" s="19"/>
      <c r="K23" s="144"/>
      <c r="L23" s="19"/>
      <c r="M23" s="144"/>
      <c r="N23" s="19"/>
      <c r="O23" s="137"/>
    </row>
    <row r="24" spans="2:18" s="63" customFormat="1" ht="24.95" customHeight="1" x14ac:dyDescent="0.2">
      <c r="B24" s="62"/>
      <c r="C24" s="147" t="s">
        <v>429</v>
      </c>
      <c r="D24" s="147" t="s">
        <v>428</v>
      </c>
      <c r="E24" s="146">
        <v>10</v>
      </c>
      <c r="F24" s="146" t="s">
        <v>20</v>
      </c>
      <c r="G24" s="144"/>
      <c r="H24" s="144"/>
      <c r="I24" s="144"/>
      <c r="J24" s="19"/>
      <c r="K24" s="144"/>
      <c r="L24" s="19"/>
      <c r="M24" s="144"/>
      <c r="N24" s="19"/>
      <c r="O24" s="137"/>
    </row>
    <row r="25" spans="2:18" s="63" customFormat="1" ht="24.95" customHeight="1" x14ac:dyDescent="0.2">
      <c r="B25" s="62" t="s">
        <v>37</v>
      </c>
      <c r="C25" s="147" t="s">
        <v>427</v>
      </c>
      <c r="D25" s="147" t="s">
        <v>430</v>
      </c>
      <c r="E25" s="146">
        <v>1</v>
      </c>
      <c r="F25" s="146" t="s">
        <v>20</v>
      </c>
      <c r="G25" s="144"/>
      <c r="H25" s="144"/>
      <c r="I25" s="144"/>
      <c r="J25" s="19"/>
      <c r="K25" s="144"/>
      <c r="L25" s="19"/>
      <c r="M25" s="144"/>
      <c r="N25" s="19"/>
      <c r="O25" s="137"/>
    </row>
    <row r="26" spans="2:18" s="63" customFormat="1" ht="24.95" customHeight="1" x14ac:dyDescent="0.2">
      <c r="B26" s="62"/>
      <c r="C26" s="147" t="s">
        <v>429</v>
      </c>
      <c r="D26" s="147" t="s">
        <v>430</v>
      </c>
      <c r="E26" s="146">
        <v>1</v>
      </c>
      <c r="F26" s="146" t="s">
        <v>20</v>
      </c>
      <c r="G26" s="144"/>
      <c r="H26" s="144"/>
      <c r="I26" s="144"/>
      <c r="J26" s="19"/>
      <c r="K26" s="144"/>
      <c r="L26" s="19"/>
      <c r="M26" s="144"/>
      <c r="N26" s="19"/>
      <c r="O26" s="137"/>
    </row>
    <row r="27" spans="2:18" s="63" customFormat="1" ht="24.95" customHeight="1" x14ac:dyDescent="0.2">
      <c r="B27" s="62" t="s">
        <v>37</v>
      </c>
      <c r="C27" s="147" t="s">
        <v>431</v>
      </c>
      <c r="D27" s="147" t="s">
        <v>432</v>
      </c>
      <c r="E27" s="146">
        <v>1</v>
      </c>
      <c r="F27" s="146" t="s">
        <v>20</v>
      </c>
      <c r="G27" s="144"/>
      <c r="H27" s="144"/>
      <c r="I27" s="144"/>
      <c r="J27" s="19"/>
      <c r="K27" s="144"/>
      <c r="L27" s="19"/>
      <c r="M27" s="144"/>
      <c r="N27" s="19"/>
      <c r="O27" s="137"/>
    </row>
    <row r="28" spans="2:18" s="63" customFormat="1" ht="24.95" customHeight="1" x14ac:dyDescent="0.2">
      <c r="B28" s="62"/>
      <c r="C28" s="147" t="s">
        <v>433</v>
      </c>
      <c r="D28" s="147" t="s">
        <v>432</v>
      </c>
      <c r="E28" s="146">
        <v>1</v>
      </c>
      <c r="F28" s="146" t="s">
        <v>20</v>
      </c>
      <c r="G28" s="144"/>
      <c r="H28" s="144"/>
      <c r="I28" s="144"/>
      <c r="J28" s="19"/>
      <c r="K28" s="144"/>
      <c r="L28" s="19"/>
      <c r="M28" s="144"/>
      <c r="N28" s="19"/>
      <c r="O28" s="137"/>
    </row>
    <row r="29" spans="2:18" s="63" customFormat="1" ht="24.95" customHeight="1" x14ac:dyDescent="0.2">
      <c r="B29" s="62" t="s">
        <v>37</v>
      </c>
      <c r="C29" s="147" t="s">
        <v>431</v>
      </c>
      <c r="D29" s="147" t="s">
        <v>434</v>
      </c>
      <c r="E29" s="146">
        <v>1</v>
      </c>
      <c r="F29" s="146" t="s">
        <v>20</v>
      </c>
      <c r="G29" s="144"/>
      <c r="H29" s="144"/>
      <c r="I29" s="144"/>
      <c r="J29" s="19"/>
      <c r="K29" s="144"/>
      <c r="L29" s="19"/>
      <c r="M29" s="144"/>
      <c r="N29" s="19"/>
      <c r="O29" s="137"/>
    </row>
    <row r="30" spans="2:18" s="63" customFormat="1" ht="24.95" customHeight="1" x14ac:dyDescent="0.2">
      <c r="B30" s="62"/>
      <c r="C30" s="147" t="s">
        <v>433</v>
      </c>
      <c r="D30" s="147" t="s">
        <v>434</v>
      </c>
      <c r="E30" s="146">
        <v>1</v>
      </c>
      <c r="F30" s="146" t="s">
        <v>20</v>
      </c>
      <c r="G30" s="144"/>
      <c r="H30" s="144"/>
      <c r="I30" s="144"/>
      <c r="J30" s="19"/>
      <c r="K30" s="144"/>
      <c r="L30" s="19"/>
      <c r="M30" s="144"/>
      <c r="N30" s="19"/>
      <c r="O30" s="137"/>
    </row>
    <row r="31" spans="2:18" s="63" customFormat="1" ht="24.95" customHeight="1" x14ac:dyDescent="0.2">
      <c r="B31" s="62" t="s">
        <v>37</v>
      </c>
      <c r="C31" s="147" t="s">
        <v>431</v>
      </c>
      <c r="D31" s="147" t="s">
        <v>435</v>
      </c>
      <c r="E31" s="146">
        <v>1</v>
      </c>
      <c r="F31" s="146" t="s">
        <v>20</v>
      </c>
      <c r="G31" s="144"/>
      <c r="H31" s="144"/>
      <c r="I31" s="144"/>
      <c r="J31" s="19"/>
      <c r="K31" s="144"/>
      <c r="L31" s="19"/>
      <c r="M31" s="144"/>
      <c r="N31" s="19"/>
      <c r="O31" s="137"/>
    </row>
    <row r="32" spans="2:18" s="63" customFormat="1" ht="24.95" customHeight="1" x14ac:dyDescent="0.2">
      <c r="B32" s="62"/>
      <c r="C32" s="147" t="s">
        <v>433</v>
      </c>
      <c r="D32" s="147" t="s">
        <v>436</v>
      </c>
      <c r="E32" s="146">
        <v>1</v>
      </c>
      <c r="F32" s="146" t="s">
        <v>20</v>
      </c>
      <c r="G32" s="144"/>
      <c r="H32" s="144"/>
      <c r="I32" s="144"/>
      <c r="J32" s="19"/>
      <c r="K32" s="144"/>
      <c r="L32" s="19"/>
      <c r="M32" s="144"/>
      <c r="N32" s="19"/>
      <c r="O32" s="137"/>
    </row>
    <row r="33" spans="2:15" s="63" customFormat="1" ht="24.95" customHeight="1" x14ac:dyDescent="0.2">
      <c r="B33" s="62" t="s">
        <v>37</v>
      </c>
      <c r="C33" s="147" t="s">
        <v>431</v>
      </c>
      <c r="D33" s="147" t="s">
        <v>437</v>
      </c>
      <c r="E33" s="146">
        <v>1</v>
      </c>
      <c r="F33" s="146" t="s">
        <v>20</v>
      </c>
      <c r="G33" s="144"/>
      <c r="H33" s="144"/>
      <c r="I33" s="144"/>
      <c r="J33" s="19"/>
      <c r="K33" s="144"/>
      <c r="L33" s="19"/>
      <c r="M33" s="144"/>
      <c r="N33" s="19"/>
      <c r="O33" s="137"/>
    </row>
    <row r="34" spans="2:15" s="63" customFormat="1" ht="24.95" customHeight="1" x14ac:dyDescent="0.2">
      <c r="B34" s="62"/>
      <c r="C34" s="147" t="s">
        <v>433</v>
      </c>
      <c r="D34" s="147" t="s">
        <v>437</v>
      </c>
      <c r="E34" s="146">
        <v>1</v>
      </c>
      <c r="F34" s="146" t="s">
        <v>20</v>
      </c>
      <c r="G34" s="144"/>
      <c r="H34" s="144"/>
      <c r="I34" s="144"/>
      <c r="J34" s="19"/>
      <c r="K34" s="144"/>
      <c r="L34" s="19"/>
      <c r="M34" s="144"/>
      <c r="N34" s="19"/>
      <c r="O34" s="137"/>
    </row>
    <row r="35" spans="2:15" s="63" customFormat="1" ht="24.95" customHeight="1" x14ac:dyDescent="0.2">
      <c r="B35" s="62" t="s">
        <v>37</v>
      </c>
      <c r="C35" s="147" t="s">
        <v>438</v>
      </c>
      <c r="D35" s="147" t="s">
        <v>439</v>
      </c>
      <c r="E35" s="146">
        <v>1</v>
      </c>
      <c r="F35" s="146" t="s">
        <v>20</v>
      </c>
      <c r="G35" s="144"/>
      <c r="H35" s="144"/>
      <c r="I35" s="144"/>
      <c r="J35" s="19"/>
      <c r="K35" s="144"/>
      <c r="L35" s="19"/>
      <c r="M35" s="144"/>
      <c r="N35" s="19"/>
      <c r="O35" s="137"/>
    </row>
    <row r="36" spans="2:15" s="63" customFormat="1" ht="24.95" customHeight="1" x14ac:dyDescent="0.2">
      <c r="B36" s="62"/>
      <c r="C36" s="147" t="s">
        <v>440</v>
      </c>
      <c r="D36" s="147" t="s">
        <v>439</v>
      </c>
      <c r="E36" s="146">
        <v>1</v>
      </c>
      <c r="F36" s="146" t="s">
        <v>20</v>
      </c>
      <c r="G36" s="144"/>
      <c r="H36" s="144"/>
      <c r="I36" s="144"/>
      <c r="J36" s="19"/>
      <c r="K36" s="144"/>
      <c r="L36" s="19"/>
      <c r="M36" s="144"/>
      <c r="N36" s="19"/>
      <c r="O36" s="137"/>
    </row>
    <row r="37" spans="2:15" s="63" customFormat="1" ht="24.95" customHeight="1" x14ac:dyDescent="0.2">
      <c r="B37" s="62" t="s">
        <v>37</v>
      </c>
      <c r="C37" s="147" t="s">
        <v>441</v>
      </c>
      <c r="D37" s="147" t="s">
        <v>442</v>
      </c>
      <c r="E37" s="146">
        <v>1</v>
      </c>
      <c r="F37" s="146" t="s">
        <v>412</v>
      </c>
      <c r="G37" s="144"/>
      <c r="H37" s="144"/>
      <c r="I37" s="144"/>
      <c r="J37" s="19"/>
      <c r="K37" s="144"/>
      <c r="L37" s="19"/>
      <c r="M37" s="144"/>
      <c r="N37" s="19"/>
      <c r="O37" s="137"/>
    </row>
    <row r="38" spans="2:15" s="63" customFormat="1" ht="24.95" customHeight="1" x14ac:dyDescent="0.2">
      <c r="B38" s="62"/>
      <c r="C38" s="147" t="s">
        <v>443</v>
      </c>
      <c r="D38" s="147" t="s">
        <v>442</v>
      </c>
      <c r="E38" s="146">
        <v>1</v>
      </c>
      <c r="F38" s="146" t="s">
        <v>412</v>
      </c>
      <c r="G38" s="144"/>
      <c r="H38" s="144"/>
      <c r="I38" s="144"/>
      <c r="J38" s="19"/>
      <c r="K38" s="144"/>
      <c r="L38" s="19"/>
      <c r="M38" s="144"/>
      <c r="N38" s="19"/>
      <c r="O38" s="137"/>
    </row>
    <row r="39" spans="2:15" s="63" customFormat="1" ht="24.95" customHeight="1" x14ac:dyDescent="0.2">
      <c r="B39" s="62" t="s">
        <v>37</v>
      </c>
      <c r="C39" s="147" t="s">
        <v>444</v>
      </c>
      <c r="D39" s="147" t="s">
        <v>445</v>
      </c>
      <c r="E39" s="146">
        <v>1</v>
      </c>
      <c r="F39" s="146" t="s">
        <v>20</v>
      </c>
      <c r="G39" s="144"/>
      <c r="H39" s="144"/>
      <c r="I39" s="144"/>
      <c r="J39" s="19"/>
      <c r="K39" s="144"/>
      <c r="L39" s="19"/>
      <c r="M39" s="144"/>
      <c r="N39" s="19"/>
      <c r="O39" s="137"/>
    </row>
    <row r="40" spans="2:15" s="63" customFormat="1" ht="24.95" customHeight="1" x14ac:dyDescent="0.2">
      <c r="B40" s="62"/>
      <c r="C40" s="147" t="s">
        <v>446</v>
      </c>
      <c r="D40" s="147" t="s">
        <v>445</v>
      </c>
      <c r="E40" s="146">
        <v>1</v>
      </c>
      <c r="F40" s="146" t="s">
        <v>20</v>
      </c>
      <c r="G40" s="144"/>
      <c r="H40" s="144"/>
      <c r="I40" s="144"/>
      <c r="J40" s="19"/>
      <c r="K40" s="144"/>
      <c r="L40" s="19"/>
      <c r="M40" s="144"/>
      <c r="N40" s="19"/>
      <c r="O40" s="137"/>
    </row>
    <row r="41" spans="2:15" s="63" customFormat="1" ht="24.95" customHeight="1" x14ac:dyDescent="0.2">
      <c r="B41" s="62" t="s">
        <v>37</v>
      </c>
      <c r="C41" s="147" t="s">
        <v>447</v>
      </c>
      <c r="D41" s="147" t="s">
        <v>448</v>
      </c>
      <c r="E41" s="146">
        <v>1</v>
      </c>
      <c r="F41" s="146" t="s">
        <v>20</v>
      </c>
      <c r="G41" s="144"/>
      <c r="H41" s="144"/>
      <c r="I41" s="144"/>
      <c r="J41" s="19"/>
      <c r="K41" s="144"/>
      <c r="L41" s="19"/>
      <c r="M41" s="144"/>
      <c r="N41" s="19"/>
      <c r="O41" s="137"/>
    </row>
    <row r="42" spans="2:15" s="63" customFormat="1" ht="24.95" customHeight="1" x14ac:dyDescent="0.2">
      <c r="B42" s="62"/>
      <c r="C42" s="147" t="s">
        <v>449</v>
      </c>
      <c r="D42" s="147" t="s">
        <v>448</v>
      </c>
      <c r="E42" s="146">
        <v>1</v>
      </c>
      <c r="F42" s="146" t="s">
        <v>20</v>
      </c>
      <c r="G42" s="144"/>
      <c r="H42" s="144"/>
      <c r="I42" s="144"/>
      <c r="J42" s="19"/>
      <c r="K42" s="144"/>
      <c r="L42" s="19"/>
      <c r="M42" s="144"/>
      <c r="N42" s="19"/>
      <c r="O42" s="137"/>
    </row>
    <row r="43" spans="2:15" s="63" customFormat="1" ht="24.95" customHeight="1" x14ac:dyDescent="0.2">
      <c r="B43" s="62" t="s">
        <v>37</v>
      </c>
      <c r="C43" s="147" t="s">
        <v>450</v>
      </c>
      <c r="D43" s="147" t="s">
        <v>439</v>
      </c>
      <c r="E43" s="146">
        <v>1</v>
      </c>
      <c r="F43" s="146" t="s">
        <v>20</v>
      </c>
      <c r="G43" s="144"/>
      <c r="H43" s="144"/>
      <c r="I43" s="144"/>
      <c r="J43" s="19"/>
      <c r="K43" s="144"/>
      <c r="L43" s="19"/>
      <c r="M43" s="144"/>
      <c r="N43" s="19"/>
      <c r="O43" s="137"/>
    </row>
    <row r="44" spans="2:15" s="63" customFormat="1" ht="24.95" customHeight="1" x14ac:dyDescent="0.2">
      <c r="B44" s="62"/>
      <c r="C44" s="147" t="s">
        <v>451</v>
      </c>
      <c r="D44" s="147" t="s">
        <v>452</v>
      </c>
      <c r="E44" s="146">
        <v>1</v>
      </c>
      <c r="F44" s="146" t="s">
        <v>20</v>
      </c>
      <c r="G44" s="144"/>
      <c r="H44" s="144"/>
      <c r="I44" s="144"/>
      <c r="J44" s="19"/>
      <c r="K44" s="144"/>
      <c r="L44" s="19"/>
      <c r="M44" s="144"/>
      <c r="N44" s="19"/>
      <c r="O44" s="137"/>
    </row>
    <row r="45" spans="2:15" s="63" customFormat="1" ht="24.95" customHeight="1" x14ac:dyDescent="0.2">
      <c r="B45" s="62" t="s">
        <v>37</v>
      </c>
      <c r="C45" s="147" t="s">
        <v>453</v>
      </c>
      <c r="D45" s="147" t="s">
        <v>454</v>
      </c>
      <c r="E45" s="146">
        <v>1</v>
      </c>
      <c r="F45" s="146" t="s">
        <v>20</v>
      </c>
      <c r="G45" s="144"/>
      <c r="H45" s="144"/>
      <c r="I45" s="144"/>
      <c r="J45" s="19"/>
      <c r="K45" s="144"/>
      <c r="L45" s="19"/>
      <c r="M45" s="144"/>
      <c r="N45" s="19"/>
      <c r="O45" s="137"/>
    </row>
    <row r="46" spans="2:15" s="63" customFormat="1" ht="24.95" customHeight="1" x14ac:dyDescent="0.2">
      <c r="B46" s="62"/>
      <c r="C46" s="147" t="s">
        <v>455</v>
      </c>
      <c r="D46" s="147" t="s">
        <v>454</v>
      </c>
      <c r="E46" s="146">
        <v>1</v>
      </c>
      <c r="F46" s="146" t="s">
        <v>20</v>
      </c>
      <c r="G46" s="144"/>
      <c r="H46" s="144"/>
      <c r="I46" s="144"/>
      <c r="J46" s="19"/>
      <c r="K46" s="144"/>
      <c r="L46" s="19"/>
      <c r="M46" s="144"/>
      <c r="N46" s="19"/>
      <c r="O46" s="137"/>
    </row>
    <row r="47" spans="2:15" s="63" customFormat="1" ht="24.95" customHeight="1" x14ac:dyDescent="0.2">
      <c r="B47" s="62" t="s">
        <v>37</v>
      </c>
      <c r="C47" s="147" t="s">
        <v>456</v>
      </c>
      <c r="D47" s="147" t="s">
        <v>457</v>
      </c>
      <c r="E47" s="146">
        <v>1</v>
      </c>
      <c r="F47" s="146" t="s">
        <v>458</v>
      </c>
      <c r="G47" s="144"/>
      <c r="H47" s="144"/>
      <c r="I47" s="144"/>
      <c r="J47" s="19"/>
      <c r="K47" s="144"/>
      <c r="L47" s="19"/>
      <c r="M47" s="144"/>
      <c r="N47" s="19"/>
      <c r="O47" s="137"/>
    </row>
    <row r="48" spans="2:15" s="63" customFormat="1" ht="24.95" customHeight="1" x14ac:dyDescent="0.2">
      <c r="B48" s="62"/>
      <c r="C48" s="147" t="s">
        <v>459</v>
      </c>
      <c r="D48" s="147" t="s">
        <v>457</v>
      </c>
      <c r="E48" s="146">
        <v>1</v>
      </c>
      <c r="F48" s="146" t="s">
        <v>458</v>
      </c>
      <c r="G48" s="144"/>
      <c r="H48" s="144"/>
      <c r="I48" s="144"/>
      <c r="J48" s="19"/>
      <c r="K48" s="144"/>
      <c r="L48" s="19"/>
      <c r="M48" s="144"/>
      <c r="N48" s="19"/>
      <c r="O48" s="137"/>
    </row>
    <row r="49" spans="2:15" s="63" customFormat="1" ht="24.95" customHeight="1" x14ac:dyDescent="0.2">
      <c r="B49" s="62" t="s">
        <v>37</v>
      </c>
      <c r="C49" s="147" t="s">
        <v>460</v>
      </c>
      <c r="D49" s="147" t="s">
        <v>461</v>
      </c>
      <c r="E49" s="146">
        <v>1</v>
      </c>
      <c r="F49" s="146" t="s">
        <v>458</v>
      </c>
      <c r="G49" s="144"/>
      <c r="H49" s="144"/>
      <c r="I49" s="144"/>
      <c r="J49" s="19"/>
      <c r="K49" s="144"/>
      <c r="L49" s="19"/>
      <c r="M49" s="144"/>
      <c r="N49" s="19"/>
      <c r="O49" s="137"/>
    </row>
    <row r="50" spans="2:15" s="63" customFormat="1" ht="24.95" customHeight="1" x14ac:dyDescent="0.2">
      <c r="B50" s="62"/>
      <c r="C50" s="147" t="s">
        <v>462</v>
      </c>
      <c r="D50" s="147" t="s">
        <v>461</v>
      </c>
      <c r="E50" s="146">
        <v>1</v>
      </c>
      <c r="F50" s="146" t="s">
        <v>458</v>
      </c>
      <c r="G50" s="144"/>
      <c r="H50" s="144"/>
      <c r="I50" s="144"/>
      <c r="J50" s="19"/>
      <c r="K50" s="144"/>
      <c r="L50" s="19"/>
      <c r="M50" s="144"/>
      <c r="N50" s="19"/>
      <c r="O50" s="137"/>
    </row>
    <row r="51" spans="2:15" s="63" customFormat="1" ht="24.95" customHeight="1" x14ac:dyDescent="0.2">
      <c r="B51" s="62" t="s">
        <v>37</v>
      </c>
      <c r="C51" s="147" t="s">
        <v>463</v>
      </c>
      <c r="D51" s="147" t="s">
        <v>464</v>
      </c>
      <c r="E51" s="146">
        <v>1</v>
      </c>
      <c r="F51" s="146" t="s">
        <v>458</v>
      </c>
      <c r="G51" s="144"/>
      <c r="H51" s="144"/>
      <c r="I51" s="144"/>
      <c r="J51" s="19"/>
      <c r="K51" s="144"/>
      <c r="L51" s="19"/>
      <c r="M51" s="144"/>
      <c r="N51" s="19"/>
      <c r="O51" s="137"/>
    </row>
    <row r="52" spans="2:15" s="63" customFormat="1" ht="24.95" customHeight="1" x14ac:dyDescent="0.2">
      <c r="B52" s="62"/>
      <c r="C52" s="147" t="s">
        <v>465</v>
      </c>
      <c r="D52" s="147" t="s">
        <v>464</v>
      </c>
      <c r="E52" s="146">
        <v>1</v>
      </c>
      <c r="F52" s="146" t="s">
        <v>458</v>
      </c>
      <c r="G52" s="144"/>
      <c r="H52" s="144"/>
      <c r="I52" s="144"/>
      <c r="J52" s="19"/>
      <c r="K52" s="144"/>
      <c r="L52" s="19"/>
      <c r="M52" s="144"/>
      <c r="N52" s="19"/>
      <c r="O52" s="137"/>
    </row>
    <row r="53" spans="2:15" s="63" customFormat="1" ht="24.95" customHeight="1" x14ac:dyDescent="0.2">
      <c r="B53" s="62" t="s">
        <v>37</v>
      </c>
      <c r="C53" s="147" t="s">
        <v>466</v>
      </c>
      <c r="D53" s="147" t="s">
        <v>467</v>
      </c>
      <c r="E53" s="146">
        <v>1</v>
      </c>
      <c r="F53" s="146" t="s">
        <v>458</v>
      </c>
      <c r="G53" s="144"/>
      <c r="H53" s="144"/>
      <c r="I53" s="144"/>
      <c r="J53" s="19"/>
      <c r="K53" s="144"/>
      <c r="L53" s="19"/>
      <c r="M53" s="144"/>
      <c r="N53" s="19"/>
      <c r="O53" s="137"/>
    </row>
    <row r="54" spans="2:15" s="63" customFormat="1" ht="24.95" customHeight="1" x14ac:dyDescent="0.2">
      <c r="B54" s="62"/>
      <c r="C54" s="147" t="s">
        <v>468</v>
      </c>
      <c r="D54" s="147" t="s">
        <v>467</v>
      </c>
      <c r="E54" s="146">
        <v>1</v>
      </c>
      <c r="F54" s="146" t="s">
        <v>458</v>
      </c>
      <c r="G54" s="144"/>
      <c r="H54" s="144"/>
      <c r="I54" s="144"/>
      <c r="J54" s="19"/>
      <c r="K54" s="144"/>
      <c r="L54" s="19"/>
      <c r="M54" s="144"/>
      <c r="N54" s="19"/>
      <c r="O54" s="137"/>
    </row>
    <row r="55" spans="2:15" s="63" customFormat="1" ht="24.95" customHeight="1" x14ac:dyDescent="0.2">
      <c r="B55" s="62"/>
      <c r="C55" s="147" t="s">
        <v>469</v>
      </c>
      <c r="D55" s="147" t="s">
        <v>470</v>
      </c>
      <c r="E55" s="146">
        <v>1</v>
      </c>
      <c r="F55" s="146" t="s">
        <v>458</v>
      </c>
      <c r="G55" s="144"/>
      <c r="H55" s="144"/>
      <c r="I55" s="144"/>
      <c r="J55" s="19"/>
      <c r="K55" s="144"/>
      <c r="L55" s="19"/>
      <c r="M55" s="144"/>
      <c r="N55" s="19"/>
      <c r="O55" s="137"/>
    </row>
    <row r="56" spans="2:15" s="63" customFormat="1" ht="24.95" customHeight="1" x14ac:dyDescent="0.2">
      <c r="B56" s="62" t="s">
        <v>37</v>
      </c>
      <c r="C56" s="147" t="s">
        <v>471</v>
      </c>
      <c r="D56" s="147" t="s">
        <v>470</v>
      </c>
      <c r="E56" s="146">
        <v>1</v>
      </c>
      <c r="F56" s="146" t="s">
        <v>458</v>
      </c>
      <c r="G56" s="144"/>
      <c r="H56" s="144"/>
      <c r="I56" s="144"/>
      <c r="J56" s="19"/>
      <c r="K56" s="144"/>
      <c r="L56" s="19"/>
      <c r="M56" s="144"/>
      <c r="N56" s="19"/>
      <c r="O56" s="137"/>
    </row>
    <row r="57" spans="2:15" s="63" customFormat="1" ht="24.95" customHeight="1" x14ac:dyDescent="0.2">
      <c r="B57" s="62"/>
      <c r="C57" s="147" t="s">
        <v>472</v>
      </c>
      <c r="D57" s="147" t="s">
        <v>473</v>
      </c>
      <c r="E57" s="146">
        <v>1</v>
      </c>
      <c r="F57" s="146" t="s">
        <v>458</v>
      </c>
      <c r="G57" s="144"/>
      <c r="H57" s="144"/>
      <c r="I57" s="144"/>
      <c r="J57" s="19"/>
      <c r="K57" s="144"/>
      <c r="L57" s="19"/>
      <c r="M57" s="144"/>
      <c r="N57" s="19"/>
      <c r="O57" s="137"/>
    </row>
    <row r="58" spans="2:15" s="63" customFormat="1" ht="24.95" customHeight="1" x14ac:dyDescent="0.2">
      <c r="B58" s="62" t="s">
        <v>37</v>
      </c>
      <c r="C58" s="147" t="s">
        <v>474</v>
      </c>
      <c r="D58" s="147" t="s">
        <v>473</v>
      </c>
      <c r="E58" s="146">
        <v>1</v>
      </c>
      <c r="F58" s="146" t="s">
        <v>458</v>
      </c>
      <c r="G58" s="144"/>
      <c r="H58" s="144"/>
      <c r="I58" s="144"/>
      <c r="J58" s="19"/>
      <c r="K58" s="144"/>
      <c r="L58" s="19"/>
      <c r="M58" s="144"/>
      <c r="N58" s="19"/>
      <c r="O58" s="137"/>
    </row>
    <row r="59" spans="2:15" s="63" customFormat="1" ht="24.95" customHeight="1" x14ac:dyDescent="0.2">
      <c r="B59" s="62" t="s">
        <v>37</v>
      </c>
      <c r="C59" s="147" t="s">
        <v>475</v>
      </c>
      <c r="D59" s="147" t="s">
        <v>476</v>
      </c>
      <c r="E59" s="146">
        <v>1</v>
      </c>
      <c r="F59" s="146" t="s">
        <v>20</v>
      </c>
      <c r="G59" s="144"/>
      <c r="H59" s="144"/>
      <c r="I59" s="144"/>
      <c r="J59" s="19"/>
      <c r="K59" s="144"/>
      <c r="L59" s="19"/>
      <c r="M59" s="144"/>
      <c r="N59" s="19"/>
      <c r="O59" s="137"/>
    </row>
    <row r="60" spans="2:15" s="63" customFormat="1" ht="24.95" customHeight="1" x14ac:dyDescent="0.2">
      <c r="B60" s="62"/>
      <c r="C60" s="147" t="s">
        <v>477</v>
      </c>
      <c r="D60" s="147" t="s">
        <v>476</v>
      </c>
      <c r="E60" s="146">
        <v>1</v>
      </c>
      <c r="F60" s="146" t="s">
        <v>20</v>
      </c>
      <c r="G60" s="144"/>
      <c r="H60" s="144"/>
      <c r="I60" s="144"/>
      <c r="J60" s="19"/>
      <c r="K60" s="144"/>
      <c r="L60" s="19"/>
      <c r="M60" s="144"/>
      <c r="N60" s="19"/>
      <c r="O60" s="137"/>
    </row>
    <row r="61" spans="2:15" s="63" customFormat="1" ht="24.95" customHeight="1" x14ac:dyDescent="0.2">
      <c r="B61" s="62" t="s">
        <v>37</v>
      </c>
      <c r="C61" s="147" t="s">
        <v>478</v>
      </c>
      <c r="D61" s="147" t="s">
        <v>479</v>
      </c>
      <c r="E61" s="146">
        <v>1</v>
      </c>
      <c r="F61" s="146" t="s">
        <v>20</v>
      </c>
      <c r="G61" s="144"/>
      <c r="H61" s="144"/>
      <c r="I61" s="144"/>
      <c r="J61" s="19"/>
      <c r="K61" s="144"/>
      <c r="L61" s="19"/>
      <c r="M61" s="144"/>
      <c r="N61" s="19"/>
      <c r="O61" s="137"/>
    </row>
    <row r="62" spans="2:15" s="63" customFormat="1" ht="24.95" customHeight="1" x14ac:dyDescent="0.2">
      <c r="B62" s="62"/>
      <c r="C62" s="147" t="s">
        <v>480</v>
      </c>
      <c r="D62" s="147" t="s">
        <v>479</v>
      </c>
      <c r="E62" s="146">
        <v>1</v>
      </c>
      <c r="F62" s="146" t="s">
        <v>20</v>
      </c>
      <c r="G62" s="144"/>
      <c r="H62" s="144"/>
      <c r="I62" s="144"/>
      <c r="J62" s="19"/>
      <c r="K62" s="144"/>
      <c r="L62" s="19"/>
      <c r="M62" s="144"/>
      <c r="N62" s="19"/>
      <c r="O62" s="137"/>
    </row>
    <row r="63" spans="2:15" s="63" customFormat="1" ht="24.95" customHeight="1" x14ac:dyDescent="0.2">
      <c r="B63" s="62" t="s">
        <v>37</v>
      </c>
      <c r="C63" s="147" t="s">
        <v>481</v>
      </c>
      <c r="D63" s="147" t="s">
        <v>482</v>
      </c>
      <c r="E63" s="146">
        <v>1</v>
      </c>
      <c r="F63" s="146" t="s">
        <v>20</v>
      </c>
      <c r="G63" s="144"/>
      <c r="H63" s="144"/>
      <c r="I63" s="144"/>
      <c r="J63" s="19"/>
      <c r="K63" s="144"/>
      <c r="L63" s="19"/>
      <c r="M63" s="144"/>
      <c r="N63" s="19"/>
      <c r="O63" s="137"/>
    </row>
    <row r="64" spans="2:15" s="63" customFormat="1" ht="24.95" customHeight="1" x14ac:dyDescent="0.2">
      <c r="B64" s="62"/>
      <c r="C64" s="147" t="s">
        <v>483</v>
      </c>
      <c r="D64" s="147" t="s">
        <v>482</v>
      </c>
      <c r="E64" s="146">
        <v>1</v>
      </c>
      <c r="F64" s="146" t="s">
        <v>20</v>
      </c>
      <c r="G64" s="144"/>
      <c r="H64" s="144"/>
      <c r="I64" s="144"/>
      <c r="J64" s="19"/>
      <c r="K64" s="144"/>
      <c r="L64" s="19"/>
      <c r="M64" s="144"/>
      <c r="N64" s="19"/>
      <c r="O64" s="137"/>
    </row>
    <row r="65" spans="2:15" s="63" customFormat="1" ht="24.95" customHeight="1" x14ac:dyDescent="0.2">
      <c r="B65" s="62" t="s">
        <v>37</v>
      </c>
      <c r="C65" s="147" t="s">
        <v>484</v>
      </c>
      <c r="D65" s="147" t="s">
        <v>485</v>
      </c>
      <c r="E65" s="146">
        <v>1</v>
      </c>
      <c r="F65" s="146" t="s">
        <v>20</v>
      </c>
      <c r="G65" s="144"/>
      <c r="H65" s="144"/>
      <c r="I65" s="144"/>
      <c r="J65" s="19"/>
      <c r="K65" s="144"/>
      <c r="L65" s="19"/>
      <c r="M65" s="144"/>
      <c r="N65" s="19"/>
      <c r="O65" s="137"/>
    </row>
    <row r="66" spans="2:15" s="63" customFormat="1" ht="24.95" customHeight="1" x14ac:dyDescent="0.2">
      <c r="B66" s="62"/>
      <c r="C66" s="147" t="s">
        <v>486</v>
      </c>
      <c r="D66" s="147" t="s">
        <v>485</v>
      </c>
      <c r="E66" s="146">
        <v>1</v>
      </c>
      <c r="F66" s="146" t="s">
        <v>20</v>
      </c>
      <c r="G66" s="144"/>
      <c r="H66" s="144"/>
      <c r="I66" s="144"/>
      <c r="J66" s="19"/>
      <c r="K66" s="144"/>
      <c r="L66" s="19"/>
      <c r="M66" s="144"/>
      <c r="N66" s="19"/>
      <c r="O66" s="137"/>
    </row>
    <row r="67" spans="2:15" ht="24.95" customHeight="1" x14ac:dyDescent="0.2">
      <c r="B67" s="134"/>
      <c r="C67" s="147" t="s">
        <v>487</v>
      </c>
      <c r="D67" s="147" t="s">
        <v>488</v>
      </c>
      <c r="E67" s="146">
        <v>1</v>
      </c>
      <c r="F67" s="146" t="s">
        <v>489</v>
      </c>
      <c r="G67" s="144"/>
      <c r="H67" s="144"/>
      <c r="I67" s="144"/>
      <c r="J67" s="19"/>
      <c r="K67" s="144"/>
      <c r="L67" s="19"/>
      <c r="M67" s="144"/>
      <c r="N67" s="19"/>
      <c r="O67" s="137"/>
    </row>
    <row r="68" spans="2:15" s="63" customFormat="1" ht="24.95" customHeight="1" x14ac:dyDescent="0.2">
      <c r="B68" s="62" t="s">
        <v>37</v>
      </c>
      <c r="C68" s="147" t="s">
        <v>490</v>
      </c>
      <c r="D68" s="147" t="s">
        <v>488</v>
      </c>
      <c r="E68" s="146">
        <v>1</v>
      </c>
      <c r="F68" s="146" t="s">
        <v>489</v>
      </c>
      <c r="G68" s="144"/>
      <c r="H68" s="144"/>
      <c r="I68" s="144"/>
      <c r="J68" s="19"/>
      <c r="K68" s="144"/>
      <c r="L68" s="19"/>
      <c r="M68" s="144"/>
      <c r="N68" s="19"/>
      <c r="O68" s="137"/>
    </row>
    <row r="69" spans="2:15" s="63" customFormat="1" ht="24.95" customHeight="1" x14ac:dyDescent="0.2">
      <c r="B69" s="62"/>
      <c r="C69" s="147" t="s">
        <v>491</v>
      </c>
      <c r="D69" s="147" t="s">
        <v>492</v>
      </c>
      <c r="E69" s="146">
        <v>1</v>
      </c>
      <c r="F69" s="146" t="s">
        <v>458</v>
      </c>
      <c r="G69" s="144"/>
      <c r="H69" s="144"/>
      <c r="I69" s="144"/>
      <c r="J69" s="19"/>
      <c r="K69" s="144"/>
      <c r="L69" s="19"/>
      <c r="M69" s="144"/>
      <c r="N69" s="19"/>
      <c r="O69" s="137"/>
    </row>
    <row r="70" spans="2:15" s="63" customFormat="1" ht="24.95" customHeight="1" x14ac:dyDescent="0.2">
      <c r="B70" s="62" t="s">
        <v>37</v>
      </c>
      <c r="C70" s="147" t="s">
        <v>493</v>
      </c>
      <c r="D70" s="147" t="s">
        <v>492</v>
      </c>
      <c r="E70" s="146">
        <v>1</v>
      </c>
      <c r="F70" s="146" t="s">
        <v>458</v>
      </c>
      <c r="G70" s="144"/>
      <c r="H70" s="144"/>
      <c r="I70" s="144"/>
      <c r="J70" s="19"/>
      <c r="K70" s="144"/>
      <c r="L70" s="19"/>
      <c r="M70" s="144"/>
      <c r="N70" s="19"/>
      <c r="O70" s="137"/>
    </row>
    <row r="71" spans="2:15" s="63" customFormat="1" ht="24.95" customHeight="1" x14ac:dyDescent="0.2">
      <c r="B71" s="62"/>
      <c r="C71" s="147" t="s">
        <v>494</v>
      </c>
      <c r="D71" s="147" t="s">
        <v>492</v>
      </c>
      <c r="E71" s="146">
        <v>1</v>
      </c>
      <c r="F71" s="146" t="s">
        <v>458</v>
      </c>
      <c r="G71" s="144"/>
      <c r="H71" s="144"/>
      <c r="I71" s="144"/>
      <c r="J71" s="19"/>
      <c r="K71" s="144"/>
      <c r="L71" s="19"/>
      <c r="M71" s="144"/>
      <c r="N71" s="19"/>
      <c r="O71" s="137"/>
    </row>
    <row r="72" spans="2:15" s="63" customFormat="1" ht="24.95" customHeight="1" x14ac:dyDescent="0.2">
      <c r="B72" s="62" t="s">
        <v>37</v>
      </c>
      <c r="C72" s="147" t="s">
        <v>495</v>
      </c>
      <c r="D72" s="147" t="s">
        <v>492</v>
      </c>
      <c r="E72" s="146">
        <v>1</v>
      </c>
      <c r="F72" s="146" t="s">
        <v>458</v>
      </c>
      <c r="G72" s="144"/>
      <c r="H72" s="144"/>
      <c r="I72" s="144"/>
      <c r="J72" s="19"/>
      <c r="K72" s="144"/>
      <c r="L72" s="19"/>
      <c r="M72" s="144"/>
      <c r="N72" s="19"/>
      <c r="O72" s="137"/>
    </row>
    <row r="73" spans="2:15" s="63" customFormat="1" ht="24.95" customHeight="1" x14ac:dyDescent="0.2">
      <c r="B73" s="62"/>
      <c r="C73" s="147" t="s">
        <v>496</v>
      </c>
      <c r="D73" s="147" t="s">
        <v>497</v>
      </c>
      <c r="E73" s="146">
        <v>1</v>
      </c>
      <c r="F73" s="146" t="s">
        <v>458</v>
      </c>
      <c r="G73" s="144"/>
      <c r="H73" s="144"/>
      <c r="I73" s="144"/>
      <c r="J73" s="19"/>
      <c r="K73" s="144"/>
      <c r="L73" s="19"/>
      <c r="M73" s="144"/>
      <c r="N73" s="19"/>
      <c r="O73" s="137"/>
    </row>
    <row r="74" spans="2:15" s="63" customFormat="1" ht="24.95" customHeight="1" x14ac:dyDescent="0.2">
      <c r="B74" s="62" t="s">
        <v>37</v>
      </c>
      <c r="C74" s="147" t="s">
        <v>498</v>
      </c>
      <c r="D74" s="147" t="s">
        <v>497</v>
      </c>
      <c r="E74" s="146">
        <v>1</v>
      </c>
      <c r="F74" s="146" t="s">
        <v>458</v>
      </c>
      <c r="G74" s="144"/>
      <c r="H74" s="144"/>
      <c r="I74" s="144"/>
      <c r="J74" s="19"/>
      <c r="K74" s="144"/>
      <c r="L74" s="19"/>
      <c r="M74" s="144"/>
      <c r="N74" s="19"/>
      <c r="O74" s="137"/>
    </row>
    <row r="75" spans="2:15" s="63" customFormat="1" ht="24.95" customHeight="1" x14ac:dyDescent="0.2">
      <c r="B75" s="62"/>
      <c r="C75" s="147" t="s">
        <v>499</v>
      </c>
      <c r="D75" s="147" t="s">
        <v>500</v>
      </c>
      <c r="E75" s="146">
        <v>1</v>
      </c>
      <c r="F75" s="146" t="s">
        <v>489</v>
      </c>
      <c r="G75" s="144"/>
      <c r="H75" s="144"/>
      <c r="I75" s="144"/>
      <c r="J75" s="19"/>
      <c r="K75" s="144"/>
      <c r="L75" s="19"/>
      <c r="M75" s="144"/>
      <c r="N75" s="19"/>
      <c r="O75" s="137"/>
    </row>
    <row r="76" spans="2:15" s="63" customFormat="1" ht="24.95" customHeight="1" x14ac:dyDescent="0.2">
      <c r="B76" s="62" t="s">
        <v>37</v>
      </c>
      <c r="C76" s="147" t="s">
        <v>501</v>
      </c>
      <c r="D76" s="147" t="s">
        <v>500</v>
      </c>
      <c r="E76" s="146">
        <v>1</v>
      </c>
      <c r="F76" s="146" t="s">
        <v>489</v>
      </c>
      <c r="G76" s="144"/>
      <c r="H76" s="144"/>
      <c r="I76" s="144"/>
      <c r="J76" s="19"/>
      <c r="K76" s="144"/>
      <c r="L76" s="19"/>
      <c r="M76" s="144"/>
      <c r="N76" s="19"/>
      <c r="O76" s="137"/>
    </row>
    <row r="77" spans="2:15" s="63" customFormat="1" ht="24.95" customHeight="1" x14ac:dyDescent="0.2">
      <c r="B77" s="62"/>
      <c r="C77" s="147" t="s">
        <v>502</v>
      </c>
      <c r="D77" s="147" t="s">
        <v>503</v>
      </c>
      <c r="E77" s="146">
        <v>1</v>
      </c>
      <c r="F77" s="146" t="s">
        <v>489</v>
      </c>
      <c r="G77" s="144"/>
      <c r="H77" s="144"/>
      <c r="I77" s="144"/>
      <c r="J77" s="19"/>
      <c r="K77" s="144"/>
      <c r="L77" s="19"/>
      <c r="M77" s="144"/>
      <c r="N77" s="19"/>
      <c r="O77" s="137"/>
    </row>
    <row r="78" spans="2:15" s="63" customFormat="1" ht="24.95" customHeight="1" x14ac:dyDescent="0.2">
      <c r="B78" s="62" t="s">
        <v>37</v>
      </c>
      <c r="C78" s="147" t="s">
        <v>504</v>
      </c>
      <c r="D78" s="147" t="s">
        <v>503</v>
      </c>
      <c r="E78" s="146">
        <v>1</v>
      </c>
      <c r="F78" s="146" t="s">
        <v>489</v>
      </c>
      <c r="G78" s="144"/>
      <c r="H78" s="144"/>
      <c r="I78" s="144"/>
      <c r="J78" s="19"/>
      <c r="K78" s="144"/>
      <c r="L78" s="19"/>
      <c r="M78" s="144"/>
      <c r="N78" s="19"/>
      <c r="O78" s="137"/>
    </row>
    <row r="79" spans="2:15" s="63" customFormat="1" ht="24.95" customHeight="1" x14ac:dyDescent="0.2">
      <c r="B79" s="62"/>
      <c r="C79" s="147" t="s">
        <v>505</v>
      </c>
      <c r="D79" s="147" t="s">
        <v>506</v>
      </c>
      <c r="E79" s="146">
        <v>1</v>
      </c>
      <c r="F79" s="146" t="s">
        <v>20</v>
      </c>
      <c r="G79" s="144"/>
      <c r="H79" s="144"/>
      <c r="I79" s="144"/>
      <c r="J79" s="19"/>
      <c r="K79" s="144"/>
      <c r="L79" s="19"/>
      <c r="M79" s="144"/>
      <c r="N79" s="19"/>
      <c r="O79" s="137"/>
    </row>
    <row r="80" spans="2:15" s="63" customFormat="1" ht="24.95" customHeight="1" x14ac:dyDescent="0.2">
      <c r="B80" s="62" t="s">
        <v>37</v>
      </c>
      <c r="C80" s="147" t="s">
        <v>507</v>
      </c>
      <c r="D80" s="147" t="s">
        <v>506</v>
      </c>
      <c r="E80" s="146">
        <v>1</v>
      </c>
      <c r="F80" s="146" t="s">
        <v>20</v>
      </c>
      <c r="G80" s="144"/>
      <c r="H80" s="144"/>
      <c r="I80" s="144"/>
      <c r="J80" s="19"/>
      <c r="K80" s="144"/>
      <c r="L80" s="19"/>
      <c r="M80" s="144"/>
      <c r="N80" s="19"/>
      <c r="O80" s="137"/>
    </row>
    <row r="81" spans="2:15" s="63" customFormat="1" ht="24.95" customHeight="1" x14ac:dyDescent="0.2">
      <c r="B81" s="62"/>
      <c r="C81" s="147" t="s">
        <v>508</v>
      </c>
      <c r="D81" s="147" t="s">
        <v>509</v>
      </c>
      <c r="E81" s="146">
        <v>1</v>
      </c>
      <c r="F81" s="146" t="s">
        <v>20</v>
      </c>
      <c r="G81" s="144"/>
      <c r="H81" s="144"/>
      <c r="I81" s="144"/>
      <c r="J81" s="19"/>
      <c r="K81" s="144"/>
      <c r="L81" s="19"/>
      <c r="M81" s="144"/>
      <c r="N81" s="19"/>
      <c r="O81" s="137"/>
    </row>
    <row r="82" spans="2:15" s="63" customFormat="1" ht="24.95" customHeight="1" x14ac:dyDescent="0.2">
      <c r="B82" s="62" t="s">
        <v>37</v>
      </c>
      <c r="C82" s="147" t="s">
        <v>510</v>
      </c>
      <c r="D82" s="147" t="s">
        <v>509</v>
      </c>
      <c r="E82" s="146">
        <v>1</v>
      </c>
      <c r="F82" s="146" t="s">
        <v>20</v>
      </c>
      <c r="G82" s="144"/>
      <c r="H82" s="144"/>
      <c r="I82" s="144"/>
      <c r="J82" s="19"/>
      <c r="K82" s="144"/>
      <c r="L82" s="19"/>
      <c r="M82" s="144"/>
      <c r="N82" s="19"/>
      <c r="O82" s="137"/>
    </row>
    <row r="83" spans="2:15" s="63" customFormat="1" ht="24.95" customHeight="1" x14ac:dyDescent="0.2">
      <c r="B83" s="62"/>
      <c r="C83" s="147" t="s">
        <v>511</v>
      </c>
      <c r="D83" s="147" t="s">
        <v>512</v>
      </c>
      <c r="E83" s="146">
        <v>11</v>
      </c>
      <c r="F83" s="146" t="s">
        <v>20</v>
      </c>
      <c r="G83" s="144"/>
      <c r="H83" s="144"/>
      <c r="I83" s="144"/>
      <c r="J83" s="19"/>
      <c r="K83" s="144"/>
      <c r="L83" s="19"/>
      <c r="M83" s="144"/>
      <c r="N83" s="19"/>
      <c r="O83" s="137"/>
    </row>
    <row r="84" spans="2:15" s="63" customFormat="1" ht="24.95" customHeight="1" x14ac:dyDescent="0.2">
      <c r="B84" s="62" t="s">
        <v>37</v>
      </c>
      <c r="C84" s="147" t="s">
        <v>513</v>
      </c>
      <c r="D84" s="147" t="s">
        <v>512</v>
      </c>
      <c r="E84" s="146">
        <v>11</v>
      </c>
      <c r="F84" s="146" t="s">
        <v>20</v>
      </c>
      <c r="G84" s="144"/>
      <c r="H84" s="144"/>
      <c r="I84" s="144"/>
      <c r="J84" s="19"/>
      <c r="K84" s="144"/>
      <c r="L84" s="19"/>
      <c r="M84" s="144"/>
      <c r="N84" s="19"/>
      <c r="O84" s="137"/>
    </row>
    <row r="85" spans="2:15" s="63" customFormat="1" ht="24.95" customHeight="1" x14ac:dyDescent="0.2">
      <c r="B85" s="145"/>
      <c r="C85" s="147" t="s">
        <v>514</v>
      </c>
      <c r="D85" s="147" t="s">
        <v>515</v>
      </c>
      <c r="E85" s="146">
        <v>1</v>
      </c>
      <c r="F85" s="146" t="s">
        <v>20</v>
      </c>
      <c r="G85" s="144"/>
      <c r="H85" s="144"/>
      <c r="I85" s="144"/>
      <c r="J85" s="19"/>
      <c r="K85" s="144"/>
      <c r="L85" s="19"/>
      <c r="M85" s="144"/>
      <c r="N85" s="19"/>
      <c r="O85" s="137"/>
    </row>
    <row r="86" spans="2:15" s="63" customFormat="1" ht="24.95" customHeight="1" x14ac:dyDescent="0.2">
      <c r="B86" s="145" t="s">
        <v>37</v>
      </c>
      <c r="C86" s="147" t="s">
        <v>514</v>
      </c>
      <c r="D86" s="147" t="s">
        <v>516</v>
      </c>
      <c r="E86" s="146">
        <v>1</v>
      </c>
      <c r="F86" s="146" t="s">
        <v>20</v>
      </c>
      <c r="G86" s="144"/>
      <c r="H86" s="144"/>
      <c r="I86" s="144"/>
      <c r="J86" s="19"/>
      <c r="K86" s="144"/>
      <c r="L86" s="19"/>
      <c r="M86" s="144"/>
      <c r="N86" s="19"/>
      <c r="O86" s="137"/>
    </row>
    <row r="87" spans="2:15" s="63" customFormat="1" ht="24.95" customHeight="1" x14ac:dyDescent="0.2">
      <c r="B87" s="145"/>
      <c r="C87" s="147" t="s">
        <v>517</v>
      </c>
      <c r="D87" s="147" t="s">
        <v>518</v>
      </c>
      <c r="E87" s="146">
        <v>1</v>
      </c>
      <c r="F87" s="146" t="s">
        <v>20</v>
      </c>
      <c r="G87" s="144"/>
      <c r="H87" s="144"/>
      <c r="I87" s="144"/>
      <c r="J87" s="19"/>
      <c r="K87" s="144"/>
      <c r="L87" s="19"/>
      <c r="M87" s="144"/>
      <c r="N87" s="19"/>
      <c r="O87" s="137"/>
    </row>
    <row r="88" spans="2:15" s="63" customFormat="1" ht="24.95" customHeight="1" x14ac:dyDescent="0.2">
      <c r="B88" s="145" t="s">
        <v>37</v>
      </c>
      <c r="C88" s="147" t="s">
        <v>519</v>
      </c>
      <c r="D88" s="147" t="s">
        <v>518</v>
      </c>
      <c r="E88" s="146">
        <v>1</v>
      </c>
      <c r="F88" s="146" t="s">
        <v>20</v>
      </c>
      <c r="G88" s="144"/>
      <c r="H88" s="144"/>
      <c r="I88" s="144"/>
      <c r="J88" s="19"/>
      <c r="K88" s="144"/>
      <c r="L88" s="19"/>
      <c r="M88" s="144"/>
      <c r="N88" s="19"/>
      <c r="O88" s="137"/>
    </row>
    <row r="89" spans="2:15" s="63" customFormat="1" ht="24.95" customHeight="1" x14ac:dyDescent="0.2">
      <c r="B89" s="145"/>
      <c r="C89" s="147" t="s">
        <v>517</v>
      </c>
      <c r="D89" s="147" t="s">
        <v>520</v>
      </c>
      <c r="E89" s="146">
        <v>1</v>
      </c>
      <c r="F89" s="146" t="s">
        <v>20</v>
      </c>
      <c r="G89" s="144"/>
      <c r="H89" s="144"/>
      <c r="I89" s="144"/>
      <c r="J89" s="19"/>
      <c r="K89" s="144"/>
      <c r="L89" s="19"/>
      <c r="M89" s="144"/>
      <c r="N89" s="19"/>
      <c r="O89" s="137"/>
    </row>
    <row r="90" spans="2:15" s="63" customFormat="1" ht="24.95" customHeight="1" x14ac:dyDescent="0.2">
      <c r="B90" s="145" t="s">
        <v>37</v>
      </c>
      <c r="C90" s="147" t="s">
        <v>519</v>
      </c>
      <c r="D90" s="147" t="s">
        <v>520</v>
      </c>
      <c r="E90" s="146">
        <v>1</v>
      </c>
      <c r="F90" s="146" t="s">
        <v>20</v>
      </c>
      <c r="G90" s="144"/>
      <c r="H90" s="144"/>
      <c r="I90" s="144"/>
      <c r="J90" s="19"/>
      <c r="K90" s="144"/>
      <c r="L90" s="19"/>
      <c r="M90" s="144"/>
      <c r="N90" s="19"/>
      <c r="O90" s="137"/>
    </row>
    <row r="91" spans="2:15" s="63" customFormat="1" ht="24.95" customHeight="1" x14ac:dyDescent="0.2">
      <c r="B91" s="145"/>
      <c r="C91" s="147" t="s">
        <v>521</v>
      </c>
      <c r="D91" s="147" t="s">
        <v>522</v>
      </c>
      <c r="E91" s="146">
        <v>1</v>
      </c>
      <c r="F91" s="146" t="s">
        <v>489</v>
      </c>
      <c r="G91" s="144"/>
      <c r="H91" s="144"/>
      <c r="I91" s="144"/>
      <c r="J91" s="19"/>
      <c r="K91" s="144"/>
      <c r="L91" s="19"/>
      <c r="M91" s="144"/>
      <c r="N91" s="19"/>
      <c r="O91" s="137"/>
    </row>
    <row r="92" spans="2:15" s="63" customFormat="1" ht="24.95" customHeight="1" x14ac:dyDescent="0.2">
      <c r="B92" s="145" t="s">
        <v>37</v>
      </c>
      <c r="C92" s="147" t="s">
        <v>523</v>
      </c>
      <c r="D92" s="147" t="s">
        <v>522</v>
      </c>
      <c r="E92" s="146">
        <v>1</v>
      </c>
      <c r="F92" s="146" t="s">
        <v>489</v>
      </c>
      <c r="G92" s="144"/>
      <c r="H92" s="144"/>
      <c r="I92" s="144"/>
      <c r="J92" s="19"/>
      <c r="K92" s="144"/>
      <c r="L92" s="19"/>
      <c r="M92" s="144"/>
      <c r="N92" s="19"/>
      <c r="O92" s="137"/>
    </row>
    <row r="93" spans="2:15" s="63" customFormat="1" ht="24.95" customHeight="1" x14ac:dyDescent="0.2">
      <c r="B93" s="145"/>
      <c r="C93" s="147" t="s">
        <v>524</v>
      </c>
      <c r="D93" s="147" t="s">
        <v>525</v>
      </c>
      <c r="E93" s="146">
        <v>1</v>
      </c>
      <c r="F93" s="146" t="s">
        <v>489</v>
      </c>
      <c r="G93" s="144"/>
      <c r="H93" s="144"/>
      <c r="I93" s="144"/>
      <c r="J93" s="19"/>
      <c r="K93" s="144"/>
      <c r="L93" s="19"/>
      <c r="M93" s="144"/>
      <c r="N93" s="19"/>
      <c r="O93" s="137"/>
    </row>
    <row r="94" spans="2:15" s="63" customFormat="1" ht="24.95" customHeight="1" x14ac:dyDescent="0.2">
      <c r="B94" s="145" t="s">
        <v>37</v>
      </c>
      <c r="C94" s="147" t="s">
        <v>526</v>
      </c>
      <c r="D94" s="147" t="s">
        <v>525</v>
      </c>
      <c r="E94" s="146">
        <v>1</v>
      </c>
      <c r="F94" s="146" t="s">
        <v>489</v>
      </c>
      <c r="G94" s="144"/>
      <c r="H94" s="144"/>
      <c r="I94" s="144"/>
      <c r="J94" s="19"/>
      <c r="K94" s="144"/>
      <c r="L94" s="19"/>
      <c r="M94" s="144"/>
      <c r="N94" s="19"/>
      <c r="O94" s="137"/>
    </row>
    <row r="95" spans="2:15" s="63" customFormat="1" ht="24.95" customHeight="1" x14ac:dyDescent="0.2">
      <c r="B95" s="145"/>
      <c r="C95" s="147"/>
      <c r="D95" s="147"/>
      <c r="E95" s="146"/>
      <c r="F95" s="146"/>
      <c r="G95" s="144"/>
      <c r="H95" s="144"/>
      <c r="I95" s="144"/>
      <c r="J95" s="19"/>
      <c r="K95" s="144"/>
      <c r="L95" s="19"/>
      <c r="M95" s="144"/>
      <c r="N95" s="19"/>
      <c r="O95" s="137"/>
    </row>
    <row r="96" spans="2:15" ht="14.1" customHeight="1" x14ac:dyDescent="0.2">
      <c r="B96" s="189">
        <v>2</v>
      </c>
      <c r="C96" s="191" t="s">
        <v>400</v>
      </c>
      <c r="D96" s="191" t="s">
        <v>37</v>
      </c>
      <c r="E96" s="193"/>
      <c r="F96" s="202" t="s">
        <v>37</v>
      </c>
      <c r="G96" s="75"/>
      <c r="H96" s="201"/>
      <c r="I96" s="75"/>
      <c r="J96" s="201"/>
      <c r="K96" s="75"/>
      <c r="L96" s="201"/>
      <c r="M96" s="75"/>
      <c r="N96" s="201"/>
      <c r="O96" s="76"/>
    </row>
    <row r="97" spans="2:15" ht="14.1" customHeight="1" x14ac:dyDescent="0.2">
      <c r="B97" s="190"/>
      <c r="C97" s="192"/>
      <c r="D97" s="192"/>
      <c r="E97" s="188"/>
      <c r="F97" s="197"/>
      <c r="G97" s="59"/>
      <c r="H97" s="200"/>
      <c r="I97" s="132"/>
      <c r="J97" s="200"/>
      <c r="K97" s="132"/>
      <c r="L97" s="200"/>
      <c r="M97" s="132"/>
      <c r="N97" s="200"/>
      <c r="O97" s="18"/>
    </row>
    <row r="98" spans="2:15" s="63" customFormat="1" ht="24.95" customHeight="1" x14ac:dyDescent="0.2">
      <c r="B98" s="62" t="s">
        <v>37</v>
      </c>
      <c r="C98" s="147" t="s">
        <v>527</v>
      </c>
      <c r="D98" s="147" t="s">
        <v>528</v>
      </c>
      <c r="E98" s="146">
        <v>1</v>
      </c>
      <c r="F98" s="146" t="s">
        <v>20</v>
      </c>
      <c r="G98" s="131"/>
      <c r="H98" s="131"/>
      <c r="I98" s="131"/>
      <c r="J98" s="19"/>
      <c r="K98" s="131"/>
      <c r="L98" s="19"/>
      <c r="M98" s="131"/>
      <c r="N98" s="19"/>
      <c r="O98" s="137"/>
    </row>
    <row r="99" spans="2:15" s="63" customFormat="1" ht="24.95" customHeight="1" x14ac:dyDescent="0.2">
      <c r="B99" s="62"/>
      <c r="C99" s="147" t="s">
        <v>529</v>
      </c>
      <c r="D99" s="147" t="s">
        <v>528</v>
      </c>
      <c r="E99" s="146">
        <v>1</v>
      </c>
      <c r="F99" s="146" t="s">
        <v>20</v>
      </c>
      <c r="G99" s="131"/>
      <c r="H99" s="131"/>
      <c r="I99" s="131"/>
      <c r="J99" s="19"/>
      <c r="K99" s="131"/>
      <c r="L99" s="19"/>
      <c r="M99" s="131"/>
      <c r="N99" s="19"/>
      <c r="O99" s="137"/>
    </row>
    <row r="100" spans="2:15" s="63" customFormat="1" ht="24.95" customHeight="1" x14ac:dyDescent="0.2">
      <c r="B100" s="62" t="s">
        <v>37</v>
      </c>
      <c r="C100" s="147" t="s">
        <v>530</v>
      </c>
      <c r="D100" s="147" t="s">
        <v>531</v>
      </c>
      <c r="E100" s="146">
        <v>1</v>
      </c>
      <c r="F100" s="146" t="s">
        <v>20</v>
      </c>
      <c r="G100" s="131"/>
      <c r="H100" s="131"/>
      <c r="I100" s="131"/>
      <c r="J100" s="19"/>
      <c r="K100" s="131"/>
      <c r="L100" s="19"/>
      <c r="M100" s="131"/>
      <c r="N100" s="19"/>
      <c r="O100" s="137"/>
    </row>
    <row r="101" spans="2:15" s="63" customFormat="1" ht="24.95" customHeight="1" x14ac:dyDescent="0.2">
      <c r="B101" s="62"/>
      <c r="C101" s="147" t="s">
        <v>532</v>
      </c>
      <c r="D101" s="147" t="s">
        <v>531</v>
      </c>
      <c r="E101" s="146">
        <v>1</v>
      </c>
      <c r="F101" s="146" t="s">
        <v>20</v>
      </c>
      <c r="G101" s="131"/>
      <c r="H101" s="131"/>
      <c r="I101" s="131"/>
      <c r="J101" s="19"/>
      <c r="K101" s="131"/>
      <c r="L101" s="19"/>
      <c r="M101" s="131"/>
      <c r="N101" s="19"/>
      <c r="O101" s="137"/>
    </row>
    <row r="102" spans="2:15" s="63" customFormat="1" ht="24.95" customHeight="1" x14ac:dyDescent="0.2">
      <c r="B102" s="62" t="s">
        <v>37</v>
      </c>
      <c r="C102" s="147" t="s">
        <v>533</v>
      </c>
      <c r="D102" s="147" t="s">
        <v>534</v>
      </c>
      <c r="E102" s="146">
        <v>1</v>
      </c>
      <c r="F102" s="146" t="s">
        <v>20</v>
      </c>
      <c r="G102" s="131"/>
      <c r="H102" s="131"/>
      <c r="I102" s="131"/>
      <c r="J102" s="19"/>
      <c r="K102" s="131"/>
      <c r="L102" s="19"/>
      <c r="M102" s="131"/>
      <c r="N102" s="19"/>
      <c r="O102" s="137"/>
    </row>
    <row r="103" spans="2:15" s="63" customFormat="1" ht="24.95" customHeight="1" x14ac:dyDescent="0.2">
      <c r="B103" s="62"/>
      <c r="C103" s="147" t="s">
        <v>535</v>
      </c>
      <c r="D103" s="147" t="s">
        <v>534</v>
      </c>
      <c r="E103" s="146">
        <v>1</v>
      </c>
      <c r="F103" s="146" t="s">
        <v>20</v>
      </c>
      <c r="G103" s="131"/>
      <c r="H103" s="131"/>
      <c r="I103" s="131"/>
      <c r="J103" s="19"/>
      <c r="K103" s="131"/>
      <c r="L103" s="19"/>
      <c r="M103" s="131"/>
      <c r="N103" s="19"/>
      <c r="O103" s="137"/>
    </row>
    <row r="104" spans="2:15" s="63" customFormat="1" ht="24.95" customHeight="1" x14ac:dyDescent="0.2">
      <c r="B104" s="62" t="s">
        <v>37</v>
      </c>
      <c r="C104" s="147" t="s">
        <v>536</v>
      </c>
      <c r="D104" s="147" t="s">
        <v>537</v>
      </c>
      <c r="E104" s="146">
        <v>1</v>
      </c>
      <c r="F104" s="146" t="s">
        <v>20</v>
      </c>
      <c r="G104" s="131"/>
      <c r="H104" s="131"/>
      <c r="I104" s="131"/>
      <c r="J104" s="19"/>
      <c r="K104" s="131"/>
      <c r="L104" s="19"/>
      <c r="M104" s="131"/>
      <c r="N104" s="19"/>
      <c r="O104" s="137"/>
    </row>
    <row r="105" spans="2:15" s="63" customFormat="1" ht="24.95" customHeight="1" x14ac:dyDescent="0.2">
      <c r="B105" s="62"/>
      <c r="C105" s="147" t="s">
        <v>538</v>
      </c>
      <c r="D105" s="147" t="s">
        <v>537</v>
      </c>
      <c r="E105" s="146">
        <v>1</v>
      </c>
      <c r="F105" s="146" t="s">
        <v>20</v>
      </c>
      <c r="G105" s="131"/>
      <c r="H105" s="131"/>
      <c r="I105" s="131"/>
      <c r="J105" s="19"/>
      <c r="K105" s="131"/>
      <c r="L105" s="19"/>
      <c r="M105" s="131"/>
      <c r="N105" s="19"/>
      <c r="O105" s="137"/>
    </row>
    <row r="106" spans="2:15" s="63" customFormat="1" ht="24.95" customHeight="1" x14ac:dyDescent="0.2">
      <c r="B106" s="62" t="s">
        <v>37</v>
      </c>
      <c r="C106" s="147" t="s">
        <v>539</v>
      </c>
      <c r="D106" s="147" t="s">
        <v>540</v>
      </c>
      <c r="E106" s="146">
        <v>1</v>
      </c>
      <c r="F106" s="146" t="s">
        <v>20</v>
      </c>
      <c r="G106" s="131"/>
      <c r="H106" s="131"/>
      <c r="I106" s="131"/>
      <c r="J106" s="19"/>
      <c r="K106" s="131"/>
      <c r="L106" s="19"/>
      <c r="M106" s="131"/>
      <c r="N106" s="19"/>
      <c r="O106" s="137"/>
    </row>
    <row r="107" spans="2:15" s="63" customFormat="1" ht="24.95" customHeight="1" x14ac:dyDescent="0.2">
      <c r="B107" s="62"/>
      <c r="C107" s="147" t="s">
        <v>541</v>
      </c>
      <c r="D107" s="147" t="s">
        <v>540</v>
      </c>
      <c r="E107" s="146">
        <v>1</v>
      </c>
      <c r="F107" s="146" t="s">
        <v>20</v>
      </c>
      <c r="G107" s="131"/>
      <c r="H107" s="131"/>
      <c r="I107" s="131"/>
      <c r="J107" s="19"/>
      <c r="K107" s="131"/>
      <c r="L107" s="19"/>
      <c r="M107" s="131"/>
      <c r="N107" s="19"/>
      <c r="O107" s="137"/>
    </row>
    <row r="108" spans="2:15" ht="24.95" customHeight="1" x14ac:dyDescent="0.2">
      <c r="B108" s="134" t="s">
        <v>37</v>
      </c>
      <c r="C108" s="67"/>
      <c r="D108" s="147"/>
      <c r="E108" s="67"/>
      <c r="F108" s="67"/>
      <c r="G108" s="67"/>
      <c r="H108" s="67"/>
      <c r="I108" s="67"/>
      <c r="J108" s="19"/>
      <c r="K108" s="67"/>
      <c r="L108" s="19"/>
      <c r="M108" s="67"/>
      <c r="N108" s="19"/>
      <c r="O108" s="135"/>
    </row>
    <row r="109" spans="2:15" ht="24.95" customHeight="1" x14ac:dyDescent="0.2">
      <c r="B109" s="134"/>
      <c r="C109" s="67"/>
      <c r="D109" s="14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58"/>
    </row>
    <row r="110" spans="2:15" ht="14.1" customHeight="1" x14ac:dyDescent="0.2">
      <c r="B110" s="194">
        <v>3</v>
      </c>
      <c r="C110" s="195" t="s">
        <v>401</v>
      </c>
      <c r="D110" s="195" t="s">
        <v>37</v>
      </c>
      <c r="E110" s="148"/>
      <c r="F110" s="196" t="s">
        <v>37</v>
      </c>
      <c r="G110" s="68"/>
      <c r="H110" s="199"/>
      <c r="I110" s="69"/>
      <c r="J110" s="199"/>
      <c r="K110" s="69"/>
      <c r="L110" s="199"/>
      <c r="M110" s="69"/>
      <c r="N110" s="199"/>
      <c r="O110" s="71"/>
    </row>
    <row r="111" spans="2:15" ht="14.1" customHeight="1" x14ac:dyDescent="0.2">
      <c r="B111" s="190"/>
      <c r="C111" s="192"/>
      <c r="D111" s="192"/>
      <c r="E111" s="149"/>
      <c r="F111" s="197"/>
      <c r="G111" s="59"/>
      <c r="H111" s="200"/>
      <c r="I111" s="59"/>
      <c r="J111" s="200"/>
      <c r="K111" s="59"/>
      <c r="L111" s="200"/>
      <c r="M111" s="59"/>
      <c r="N111" s="200"/>
      <c r="O111" s="41"/>
    </row>
    <row r="112" spans="2:15" s="63" customFormat="1" ht="24.95" customHeight="1" x14ac:dyDescent="0.2">
      <c r="B112" s="62" t="s">
        <v>37</v>
      </c>
      <c r="C112" s="147" t="s">
        <v>542</v>
      </c>
      <c r="D112" s="147" t="s">
        <v>3</v>
      </c>
      <c r="E112" s="146">
        <v>5</v>
      </c>
      <c r="F112" s="146" t="s">
        <v>31</v>
      </c>
      <c r="G112" s="131"/>
      <c r="H112" s="131"/>
      <c r="I112" s="131"/>
      <c r="J112" s="19"/>
      <c r="K112" s="131"/>
      <c r="L112" s="19"/>
      <c r="M112" s="131"/>
      <c r="N112" s="19"/>
      <c r="O112" s="137"/>
    </row>
    <row r="113" spans="2:25" s="63" customFormat="1" ht="24.95" customHeight="1" x14ac:dyDescent="0.2">
      <c r="B113" s="62"/>
      <c r="C113" s="147" t="s">
        <v>543</v>
      </c>
      <c r="D113" s="147" t="s">
        <v>3</v>
      </c>
      <c r="E113" s="146">
        <v>5</v>
      </c>
      <c r="F113" s="146" t="s">
        <v>31</v>
      </c>
      <c r="G113" s="131"/>
      <c r="H113" s="131"/>
      <c r="I113" s="131"/>
      <c r="J113" s="19"/>
      <c r="K113" s="131"/>
      <c r="L113" s="19"/>
      <c r="M113" s="131"/>
      <c r="N113" s="19"/>
      <c r="O113" s="137"/>
    </row>
    <row r="114" spans="2:25" s="63" customFormat="1" ht="24.95" customHeight="1" x14ac:dyDescent="0.2">
      <c r="B114" s="62" t="s">
        <v>37</v>
      </c>
      <c r="C114" s="147" t="s">
        <v>544</v>
      </c>
      <c r="D114" s="147" t="s">
        <v>545</v>
      </c>
      <c r="E114" s="146">
        <v>5</v>
      </c>
      <c r="F114" s="146" t="s">
        <v>546</v>
      </c>
      <c r="G114" s="131"/>
      <c r="H114" s="131"/>
      <c r="I114" s="131"/>
      <c r="J114" s="19"/>
      <c r="K114" s="131"/>
      <c r="L114" s="19"/>
      <c r="M114" s="131"/>
      <c r="N114" s="19"/>
      <c r="O114" s="137"/>
    </row>
    <row r="115" spans="2:25" s="63" customFormat="1" ht="24.95" customHeight="1" x14ac:dyDescent="0.2">
      <c r="B115" s="62"/>
      <c r="C115" s="147" t="s">
        <v>547</v>
      </c>
      <c r="D115" s="147" t="s">
        <v>545</v>
      </c>
      <c r="E115" s="146">
        <v>5</v>
      </c>
      <c r="F115" s="146" t="s">
        <v>546</v>
      </c>
      <c r="G115" s="131"/>
      <c r="H115" s="131"/>
      <c r="I115" s="131"/>
      <c r="J115" s="19"/>
      <c r="K115" s="131"/>
      <c r="L115" s="19"/>
      <c r="M115" s="131"/>
      <c r="N115" s="19"/>
      <c r="O115" s="137"/>
    </row>
    <row r="116" spans="2:25" ht="24.95" customHeight="1" x14ac:dyDescent="0.2">
      <c r="B116" s="134" t="s">
        <v>37</v>
      </c>
      <c r="C116" s="147"/>
      <c r="D116" s="147"/>
      <c r="E116" s="67"/>
      <c r="F116" s="67"/>
      <c r="G116" s="67"/>
      <c r="H116" s="67"/>
      <c r="I116" s="67"/>
      <c r="J116" s="19"/>
      <c r="K116" s="67"/>
      <c r="L116" s="19"/>
      <c r="M116" s="67"/>
      <c r="N116" s="19"/>
      <c r="O116" s="135"/>
    </row>
    <row r="117" spans="2:25" ht="14.1" customHeight="1" x14ac:dyDescent="0.2">
      <c r="B117" s="194">
        <v>4</v>
      </c>
      <c r="C117" s="215" t="s">
        <v>402</v>
      </c>
      <c r="D117" s="195" t="s">
        <v>37</v>
      </c>
      <c r="E117" s="187"/>
      <c r="F117" s="196" t="s">
        <v>37</v>
      </c>
      <c r="G117" s="43"/>
      <c r="H117" s="199"/>
      <c r="I117" s="104"/>
      <c r="J117" s="87"/>
      <c r="K117" s="104"/>
      <c r="L117" s="199"/>
      <c r="M117" s="43"/>
      <c r="N117" s="44"/>
      <c r="O117" s="41"/>
      <c r="R117" s="8"/>
      <c r="S117" s="8"/>
      <c r="T117" s="8"/>
      <c r="U117" s="8"/>
      <c r="V117" s="8"/>
      <c r="W117" s="8"/>
      <c r="X117" s="8"/>
      <c r="Y117" s="8"/>
    </row>
    <row r="118" spans="2:25" ht="14.1" customHeight="1" x14ac:dyDescent="0.2">
      <c r="B118" s="190"/>
      <c r="C118" s="198"/>
      <c r="D118" s="192"/>
      <c r="E118" s="188"/>
      <c r="F118" s="197"/>
      <c r="G118" s="59"/>
      <c r="H118" s="200"/>
      <c r="I118" s="59"/>
      <c r="J118" s="60"/>
      <c r="K118" s="59"/>
      <c r="L118" s="200"/>
      <c r="M118" s="59"/>
      <c r="N118" s="60"/>
      <c r="O118" s="18"/>
      <c r="R118" s="8"/>
      <c r="S118" s="8"/>
      <c r="T118" s="8"/>
      <c r="U118" s="8"/>
      <c r="V118" s="8"/>
      <c r="W118" s="8"/>
      <c r="X118" s="8"/>
      <c r="Y118" s="8"/>
    </row>
    <row r="119" spans="2:25" ht="24.95" customHeight="1" x14ac:dyDescent="0.2">
      <c r="B119" s="134"/>
      <c r="C119" s="67" t="s">
        <v>548</v>
      </c>
      <c r="D119" s="147" t="s">
        <v>549</v>
      </c>
      <c r="E119" s="67">
        <v>1</v>
      </c>
      <c r="F119" s="67" t="s">
        <v>550</v>
      </c>
      <c r="G119" s="67"/>
      <c r="H119" s="67"/>
      <c r="I119" s="67"/>
      <c r="J119" s="67"/>
      <c r="K119" s="67"/>
      <c r="L119" s="67"/>
      <c r="M119" s="67"/>
      <c r="N119" s="67"/>
      <c r="O119" s="58"/>
    </row>
    <row r="120" spans="2:25" ht="24.95" customHeight="1" x14ac:dyDescent="0.2">
      <c r="B120" s="134" t="s">
        <v>37</v>
      </c>
      <c r="C120" s="67" t="s">
        <v>548</v>
      </c>
      <c r="D120" s="147" t="s">
        <v>551</v>
      </c>
      <c r="E120" s="67">
        <v>1</v>
      </c>
      <c r="F120" s="67" t="s">
        <v>550</v>
      </c>
      <c r="G120" s="67"/>
      <c r="H120" s="67"/>
      <c r="I120" s="67"/>
      <c r="J120" s="19"/>
      <c r="K120" s="67"/>
      <c r="L120" s="67"/>
      <c r="M120" s="67"/>
      <c r="N120" s="19"/>
      <c r="O120" s="135"/>
    </row>
    <row r="121" spans="2:25" ht="24.95" customHeight="1" x14ac:dyDescent="0.2">
      <c r="B121" s="134"/>
      <c r="C121" s="67"/>
      <c r="D121" s="14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58"/>
    </row>
    <row r="122" spans="2:25" ht="24.95" customHeight="1" x14ac:dyDescent="0.2">
      <c r="B122" s="140">
        <v>5</v>
      </c>
      <c r="C122" s="67" t="s">
        <v>403</v>
      </c>
      <c r="D122" s="147"/>
      <c r="E122" s="67"/>
      <c r="F122" s="67"/>
      <c r="G122" s="67"/>
      <c r="H122" s="142"/>
      <c r="I122" s="142"/>
      <c r="J122" s="141"/>
      <c r="K122" s="142"/>
      <c r="L122" s="141"/>
      <c r="M122" s="142"/>
      <c r="N122" s="141"/>
      <c r="O122" s="135"/>
    </row>
    <row r="123" spans="2:25" ht="24" customHeight="1" x14ac:dyDescent="0.2">
      <c r="B123" s="9" t="s">
        <v>37</v>
      </c>
      <c r="C123" s="7" t="s">
        <v>37</v>
      </c>
      <c r="D123" s="7" t="s">
        <v>37</v>
      </c>
      <c r="E123" s="60"/>
      <c r="F123" s="12" t="s">
        <v>37</v>
      </c>
      <c r="G123" s="17"/>
      <c r="H123" s="13"/>
      <c r="I123" s="17"/>
      <c r="J123" s="13"/>
      <c r="K123" s="17"/>
      <c r="L123" s="13"/>
      <c r="M123" s="17"/>
      <c r="N123" s="13"/>
      <c r="O123" s="18" t="s">
        <v>37</v>
      </c>
      <c r="U123" s="6" t="e">
        <f>(#REF!+#REF!+#REF!)*14.736748/100</f>
        <v>#REF!</v>
      </c>
    </row>
    <row r="124" spans="2:25" x14ac:dyDescent="0.2">
      <c r="B124" s="4"/>
      <c r="C124" s="4"/>
      <c r="D124" s="4"/>
      <c r="E124" s="143"/>
      <c r="F124" s="4"/>
      <c r="G124" s="4"/>
      <c r="H124" s="4"/>
      <c r="I124" s="4"/>
      <c r="J124" s="4"/>
      <c r="K124" s="4"/>
      <c r="L124" s="4"/>
      <c r="M124" s="4"/>
      <c r="N124" s="4"/>
      <c r="O124" s="4"/>
      <c r="U124" s="6" t="e">
        <f>IF(Q147&lt;&gt; "0.9",TRUNC(#REF!*0.1,0),TRUNC(#REF!*0.1,0)+1)</f>
        <v>#REF!</v>
      </c>
    </row>
    <row r="125" spans="2:25" x14ac:dyDescent="0.2">
      <c r="U125" s="6" t="e">
        <f>#REF!+U124</f>
        <v>#REF!</v>
      </c>
    </row>
    <row r="126" spans="2:25" x14ac:dyDescent="0.2">
      <c r="U126" s="6"/>
    </row>
    <row r="127" spans="2:25" x14ac:dyDescent="0.2">
      <c r="U127" s="6"/>
    </row>
    <row r="128" spans="2:25" x14ac:dyDescent="0.2">
      <c r="U128" s="3" t="e">
        <f>TRUNC((U125+U126+U127),0)</f>
        <v>#REF!</v>
      </c>
    </row>
  </sheetData>
  <mergeCells count="44">
    <mergeCell ref="H117:H118"/>
    <mergeCell ref="L117:L118"/>
    <mergeCell ref="B1:O2"/>
    <mergeCell ref="B3:B4"/>
    <mergeCell ref="C3:C4"/>
    <mergeCell ref="D3:D4"/>
    <mergeCell ref="E3:E4"/>
    <mergeCell ref="O3:O4"/>
    <mergeCell ref="F3:F4"/>
    <mergeCell ref="M3:N3"/>
    <mergeCell ref="K3:L3"/>
    <mergeCell ref="G3:H3"/>
    <mergeCell ref="I3:J3"/>
    <mergeCell ref="B5:B6"/>
    <mergeCell ref="C5:C6"/>
    <mergeCell ref="D5:D6"/>
    <mergeCell ref="N5:N6"/>
    <mergeCell ref="L96:L97"/>
    <mergeCell ref="N96:N97"/>
    <mergeCell ref="F96:F97"/>
    <mergeCell ref="E5:E6"/>
    <mergeCell ref="F5:F6"/>
    <mergeCell ref="H110:H111"/>
    <mergeCell ref="J110:J111"/>
    <mergeCell ref="L110:L111"/>
    <mergeCell ref="N110:N111"/>
    <mergeCell ref="H5:H6"/>
    <mergeCell ref="J5:J6"/>
    <mergeCell ref="H96:H97"/>
    <mergeCell ref="J96:J97"/>
    <mergeCell ref="L5:L6"/>
    <mergeCell ref="F110:F111"/>
    <mergeCell ref="B117:B118"/>
    <mergeCell ref="C117:C118"/>
    <mergeCell ref="D117:D118"/>
    <mergeCell ref="E117:E118"/>
    <mergeCell ref="F117:F118"/>
    <mergeCell ref="B96:B97"/>
    <mergeCell ref="C96:C97"/>
    <mergeCell ref="D96:D97"/>
    <mergeCell ref="E96:E97"/>
    <mergeCell ref="B110:B111"/>
    <mergeCell ref="C110:C111"/>
    <mergeCell ref="D110:D111"/>
  </mergeCells>
  <phoneticPr fontId="5" type="noConversion"/>
  <pageMargins left="0.59055118110236227" right="7.874015748031496E-2" top="0.6692913385826772" bottom="0.59055118110236227" header="0.51181102362204722" footer="0.51181102362204722"/>
  <pageSetup paperSize="9" scale="75" orientation="landscape" r:id="rId1"/>
  <headerFooter alignWithMargins="0"/>
  <rowBreaks count="2" manualBreakCount="2">
    <brk id="22" min="1" max="14" man="1"/>
    <brk id="95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791"/>
  <sheetViews>
    <sheetView showGridLines="0" view="pageBreakPreview" topLeftCell="A382" zoomScaleNormal="100" zoomScaleSheetLayoutView="100" workbookViewId="0">
      <selection activeCell="AP43" sqref="AP43"/>
    </sheetView>
  </sheetViews>
  <sheetFormatPr defaultRowHeight="13.5" x14ac:dyDescent="0.25"/>
  <cols>
    <col min="1" max="1" width="3.7109375" style="53" customWidth="1"/>
    <col min="2" max="85" width="1.28515625" style="53" customWidth="1"/>
    <col min="86" max="89" width="8.7109375" style="53" customWidth="1"/>
    <col min="90" max="90" width="8.7109375" style="37" customWidth="1"/>
    <col min="91" max="92" width="9.140625" style="20"/>
    <col min="93" max="94" width="10.42578125" style="20" bestFit="1" customWidth="1"/>
    <col min="95" max="125" width="9.140625" style="20"/>
    <col min="126" max="126" width="10.85546875" style="20" bestFit="1" customWidth="1"/>
    <col min="127" max="16384" width="9.140625" style="20"/>
  </cols>
  <sheetData>
    <row r="1" spans="1:90" ht="31.5" customHeight="1" x14ac:dyDescent="0.2">
      <c r="A1" s="211" t="s">
        <v>90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</row>
    <row r="2" spans="1:90" ht="17.649999999999999" customHeight="1" x14ac:dyDescent="0.2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</row>
    <row r="3" spans="1:90" ht="17.649999999999999" customHeight="1" x14ac:dyDescent="0.25">
      <c r="B3" s="212" t="s">
        <v>78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  <c r="BD3" s="213"/>
      <c r="BE3" s="213"/>
      <c r="BF3" s="213"/>
      <c r="BG3" s="213"/>
      <c r="BH3" s="213"/>
      <c r="BI3" s="213"/>
      <c r="BJ3" s="213"/>
      <c r="BK3" s="213"/>
      <c r="BL3" s="213"/>
      <c r="BM3" s="213"/>
      <c r="BN3" s="213"/>
      <c r="BO3" s="213"/>
      <c r="BP3" s="213"/>
      <c r="BQ3" s="213"/>
      <c r="BR3" s="213"/>
      <c r="BS3" s="213"/>
      <c r="BT3" s="213"/>
      <c r="BU3" s="213"/>
      <c r="BV3" s="213"/>
      <c r="BW3" s="213"/>
      <c r="BX3" s="213"/>
      <c r="BY3" s="213"/>
      <c r="BZ3" s="213"/>
      <c r="CA3" s="213"/>
      <c r="CB3" s="213"/>
      <c r="CC3" s="213"/>
      <c r="CD3" s="213"/>
      <c r="CE3" s="213"/>
      <c r="CF3" s="213"/>
      <c r="CG3" s="214"/>
      <c r="CH3" s="21" t="s">
        <v>79</v>
      </c>
      <c r="CI3" s="21" t="s">
        <v>52</v>
      </c>
      <c r="CJ3" s="127" t="s">
        <v>53</v>
      </c>
      <c r="CK3" s="127" t="s">
        <v>54</v>
      </c>
      <c r="CL3" s="55" t="s">
        <v>55</v>
      </c>
    </row>
    <row r="4" spans="1:90" ht="18.75" customHeight="1" x14ac:dyDescent="0.25">
      <c r="B4" s="46" t="s">
        <v>91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8">
        <f>TRUNC(CI4+CJ4+CK4,0)</f>
        <v>0</v>
      </c>
      <c r="CI4" s="48">
        <f>TRUNC(CI7,0)</f>
        <v>0</v>
      </c>
      <c r="CJ4" s="49"/>
      <c r="CK4" s="54"/>
      <c r="CL4" s="97"/>
    </row>
    <row r="5" spans="1:90" ht="18.75" customHeight="1" x14ac:dyDescent="0.25">
      <c r="B5" s="105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7"/>
      <c r="CI5" s="107"/>
      <c r="CJ5" s="108"/>
      <c r="CK5" s="108"/>
      <c r="CL5" s="128"/>
    </row>
    <row r="6" spans="1:90" ht="18.75" customHeight="1" x14ac:dyDescent="0.25">
      <c r="B6" s="105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23"/>
      <c r="S6" s="106"/>
      <c r="T6" s="106"/>
      <c r="U6" s="106"/>
      <c r="V6" s="106"/>
      <c r="W6" s="106"/>
      <c r="X6" s="106"/>
      <c r="Y6" s="106"/>
      <c r="Z6" s="23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7"/>
      <c r="CI6" s="107"/>
      <c r="CJ6" s="108"/>
      <c r="CK6" s="108"/>
      <c r="CL6" s="109"/>
    </row>
    <row r="7" spans="1:90" ht="18.75" customHeight="1" x14ac:dyDescent="0.25">
      <c r="B7" s="105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23"/>
      <c r="U7" s="23"/>
      <c r="V7" s="106"/>
      <c r="W7" s="23" t="str">
        <f>TEXT(0.31,"#,##0.#######")</f>
        <v>0.31</v>
      </c>
      <c r="X7" s="106"/>
      <c r="Y7" s="106"/>
      <c r="Z7" s="106"/>
      <c r="AA7" s="23"/>
      <c r="AB7" s="106"/>
      <c r="AC7" s="23"/>
      <c r="AD7" s="23" t="str">
        <f>TEXT(0.2,"#,##0.#######")</f>
        <v>0.2</v>
      </c>
      <c r="AE7" s="106"/>
      <c r="AF7" s="23"/>
      <c r="AG7" s="106"/>
      <c r="AH7" s="106"/>
      <c r="AI7" s="106"/>
      <c r="AJ7" s="23" t="str">
        <f>TEXT(0.31,"#,##0.#######")</f>
        <v>0.31</v>
      </c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23"/>
      <c r="BF7" s="106"/>
      <c r="BG7" s="106"/>
      <c r="BH7" s="23" t="str">
        <f>TEXT(0.05,"#,##0.#######")</f>
        <v>0.05</v>
      </c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7"/>
      <c r="CI7" s="129"/>
      <c r="CJ7" s="108"/>
      <c r="CK7" s="108"/>
      <c r="CL7" s="109"/>
    </row>
    <row r="8" spans="1:90" ht="18.75" customHeight="1" x14ac:dyDescent="0.25">
      <c r="B8" s="105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7"/>
      <c r="CI8" s="107"/>
      <c r="CJ8" s="108"/>
      <c r="CK8" s="108"/>
      <c r="CL8" s="109"/>
    </row>
    <row r="9" spans="1:90" ht="18.75" customHeight="1" x14ac:dyDescent="0.25">
      <c r="B9" s="110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23"/>
      <c r="AX9" s="111"/>
      <c r="AY9" s="111"/>
      <c r="AZ9" s="23" t="str">
        <f>TEXT(0.3,"#,##0.#######")</f>
        <v>0.3</v>
      </c>
      <c r="BA9" s="111"/>
      <c r="BB9" s="111"/>
      <c r="BC9" s="111"/>
      <c r="BD9" s="111"/>
      <c r="BE9" s="23"/>
      <c r="BF9" s="111"/>
      <c r="BG9" s="111"/>
      <c r="BH9" s="23" t="str">
        <f>TEXT(0.2,"#,##0.#######")</f>
        <v>0.2</v>
      </c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07"/>
      <c r="CI9" s="107"/>
      <c r="CJ9" s="108"/>
      <c r="CK9" s="108"/>
      <c r="CL9" s="112"/>
    </row>
    <row r="10" spans="1:90" ht="18.75" customHeight="1" x14ac:dyDescent="0.25">
      <c r="B10" s="105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23"/>
      <c r="O10" s="106"/>
      <c r="P10" s="106"/>
      <c r="Q10" s="106"/>
      <c r="R10" s="106"/>
      <c r="S10" s="106"/>
      <c r="T10" s="23"/>
      <c r="U10" s="106"/>
      <c r="V10" s="23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13"/>
      <c r="CI10" s="113"/>
      <c r="CJ10" s="114"/>
      <c r="CK10" s="114"/>
      <c r="CL10" s="115"/>
    </row>
    <row r="11" spans="1:90" ht="18.75" customHeight="1" x14ac:dyDescent="0.25">
      <c r="B11" s="105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23" t="str">
        <f>TEXT(0.2,"#,##0.#######")</f>
        <v>0.2</v>
      </c>
      <c r="P11" s="106"/>
      <c r="Q11" s="106"/>
      <c r="R11" s="106"/>
      <c r="S11" s="106"/>
      <c r="T11" s="106"/>
      <c r="U11" s="106"/>
      <c r="V11" s="23" t="str">
        <f>TEXT(1,"#,##0.#######")</f>
        <v>1.</v>
      </c>
      <c r="W11" s="106" t="s">
        <v>92</v>
      </c>
      <c r="X11" s="23" t="str">
        <f>TEXT(0.3,"#,##0.#######")</f>
        <v>0.3</v>
      </c>
      <c r="Y11" s="106"/>
      <c r="Z11" s="106"/>
      <c r="AA11" s="106"/>
      <c r="AB11" s="116"/>
      <c r="AC11" s="106" t="s">
        <v>93</v>
      </c>
      <c r="AD11" s="106"/>
      <c r="AE11" s="116"/>
      <c r="AF11" s="116"/>
      <c r="AG11" s="116"/>
      <c r="AH11" s="11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23"/>
      <c r="BF11" s="106"/>
      <c r="BG11" s="106"/>
      <c r="BH11" s="23" t="str">
        <f>TEXT(0.05,"#,##0.#######")</f>
        <v>0.05</v>
      </c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13"/>
      <c r="CI11" s="113"/>
      <c r="CJ11" s="114"/>
      <c r="CK11" s="114"/>
      <c r="CL11" s="115"/>
    </row>
    <row r="12" spans="1:90" ht="18.75" customHeight="1" x14ac:dyDescent="0.25">
      <c r="B12" s="105"/>
      <c r="C12" s="106"/>
      <c r="D12" s="106"/>
      <c r="E12" s="106"/>
      <c r="F12" s="106"/>
      <c r="G12" s="106"/>
      <c r="H12" s="106"/>
      <c r="I12" s="23"/>
      <c r="J12" s="106"/>
      <c r="K12" s="106"/>
      <c r="L12" s="106"/>
      <c r="M12" s="106"/>
      <c r="N12" s="106"/>
      <c r="O12" s="106"/>
      <c r="P12" s="106"/>
      <c r="Q12" s="23"/>
      <c r="R12" s="106"/>
      <c r="S12" s="23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13"/>
      <c r="CI12" s="113"/>
      <c r="CJ12" s="114"/>
      <c r="CK12" s="114"/>
      <c r="CL12" s="115"/>
    </row>
    <row r="13" spans="1:90" ht="18.75" customHeight="1" x14ac:dyDescent="0.25">
      <c r="B13" s="105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23"/>
      <c r="V13" s="106"/>
      <c r="W13" s="106"/>
      <c r="X13" s="106"/>
      <c r="Y13" s="106"/>
      <c r="Z13" s="23"/>
      <c r="AA13" s="23"/>
      <c r="AC13" s="106"/>
      <c r="AD13" s="106"/>
      <c r="AE13" s="106"/>
      <c r="AF13" s="23"/>
      <c r="AG13" s="106"/>
      <c r="AH13" s="106"/>
      <c r="AI13" s="23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23"/>
      <c r="BM13" s="106"/>
      <c r="BN13" s="23" t="str">
        <f>TEXT(0.05,"#,##0.#######")</f>
        <v>0.05</v>
      </c>
      <c r="BO13" s="23"/>
      <c r="BP13" s="106"/>
      <c r="BQ13" s="23"/>
      <c r="BR13" s="106"/>
      <c r="BS13" s="106"/>
      <c r="BT13" s="23" t="str">
        <f>TEXT(0.2,"#,##0.#######")</f>
        <v>0.2</v>
      </c>
      <c r="BU13" s="106"/>
      <c r="BV13" s="23"/>
      <c r="BW13" s="106"/>
      <c r="BX13" s="106"/>
      <c r="BY13" s="23" t="str">
        <f>TEXT(0.05,"#,##0.#######")</f>
        <v>0.05</v>
      </c>
      <c r="BZ13" s="23"/>
      <c r="CA13" s="106"/>
      <c r="CB13" s="106"/>
      <c r="CC13" s="106"/>
      <c r="CD13" s="106"/>
      <c r="CE13" s="106"/>
      <c r="CF13" s="106"/>
      <c r="CG13" s="106"/>
      <c r="CH13" s="113"/>
      <c r="CI13" s="113"/>
      <c r="CJ13" s="114"/>
      <c r="CK13" s="114"/>
      <c r="CL13" s="115"/>
    </row>
    <row r="14" spans="1:90" ht="18.75" customHeight="1" x14ac:dyDescent="0.25">
      <c r="B14" s="105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23" t="str">
        <f>TEXT(0.2,"#,##0.#######")</f>
        <v>0.2</v>
      </c>
      <c r="Y14" s="106"/>
      <c r="Z14" s="106"/>
      <c r="AA14" s="106"/>
      <c r="AB14" s="106"/>
      <c r="AC14" s="106"/>
      <c r="AD14" s="23" t="str">
        <f>TEXT(0.3,"#,##0.#######")</f>
        <v>0.3</v>
      </c>
      <c r="AE14" s="106"/>
      <c r="AF14" s="106"/>
      <c r="AG14" s="106"/>
      <c r="AH14" s="106"/>
      <c r="AI14" s="106"/>
      <c r="AJ14" s="23" t="str">
        <f>TEXT(0.2,"#,##0.#######")</f>
        <v>0.2</v>
      </c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16"/>
      <c r="BB14" s="11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13"/>
      <c r="CI14" s="113"/>
      <c r="CJ14" s="114"/>
      <c r="CK14" s="114"/>
      <c r="CL14" s="115"/>
    </row>
    <row r="15" spans="1:90" ht="18.75" customHeight="1" x14ac:dyDescent="0.25">
      <c r="B15" s="105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13"/>
      <c r="CI15" s="113"/>
      <c r="CJ15" s="114"/>
      <c r="CK15" s="114"/>
      <c r="CL15" s="115"/>
    </row>
    <row r="16" spans="1:90" ht="18.75" customHeight="1" x14ac:dyDescent="0.25">
      <c r="B16" s="105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23"/>
      <c r="BQ16" s="106"/>
      <c r="BR16" s="106"/>
      <c r="BS16" s="23" t="str">
        <f>TEXT(0.3,"#,##0.#######")</f>
        <v>0.3</v>
      </c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13"/>
      <c r="CI16" s="113"/>
      <c r="CJ16" s="114"/>
      <c r="CK16" s="114"/>
      <c r="CL16" s="115"/>
    </row>
    <row r="17" spans="2:90" ht="18.75" customHeight="1" x14ac:dyDescent="0.25">
      <c r="B17" s="105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23"/>
      <c r="T17" s="106"/>
      <c r="U17" s="106"/>
      <c r="V17" s="106"/>
      <c r="W17" s="106"/>
      <c r="X17" s="106"/>
      <c r="Y17" s="106"/>
      <c r="Z17" s="23"/>
      <c r="AA17" s="106"/>
      <c r="AB17" s="106"/>
      <c r="AC17" s="106"/>
      <c r="AD17" s="106"/>
      <c r="AE17" s="106"/>
      <c r="AF17" s="106"/>
      <c r="AG17" s="106"/>
      <c r="AH17" s="23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13"/>
      <c r="CI17" s="113"/>
      <c r="CJ17" s="114"/>
      <c r="CK17" s="114"/>
      <c r="CL17" s="115"/>
    </row>
    <row r="18" spans="2:90" ht="18.75" customHeight="1" x14ac:dyDescent="0.25">
      <c r="B18" s="105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13"/>
      <c r="CI18" s="113"/>
      <c r="CJ18" s="114"/>
      <c r="CK18" s="114"/>
      <c r="CL18" s="115"/>
    </row>
    <row r="19" spans="2:90" ht="18.75" customHeight="1" x14ac:dyDescent="0.25">
      <c r="B19" s="105"/>
      <c r="C19" s="106"/>
      <c r="D19" s="23" t="s">
        <v>94</v>
      </c>
      <c r="E19" s="23"/>
      <c r="F19" s="23"/>
      <c r="G19" s="23" t="s">
        <v>95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7"/>
      <c r="CI19" s="27"/>
      <c r="CJ19" s="28"/>
      <c r="CK19" s="28"/>
      <c r="CL19" s="39"/>
    </row>
    <row r="20" spans="2:90" ht="18.75" customHeight="1" x14ac:dyDescent="0.25">
      <c r="B20" s="105"/>
      <c r="C20" s="106"/>
      <c r="D20" s="23"/>
      <c r="E20" s="23"/>
      <c r="F20" s="23"/>
      <c r="G20" s="23" t="s">
        <v>96</v>
      </c>
      <c r="H20" s="23" t="str">
        <f>TEXT(X14,"#,##0.#######")</f>
        <v>0.2</v>
      </c>
      <c r="I20" s="23"/>
      <c r="J20" s="23"/>
      <c r="K20" s="23" t="s">
        <v>97</v>
      </c>
      <c r="L20" s="23"/>
      <c r="M20" s="23" t="str">
        <f>TEXT(AD14,"#,##0.#######")</f>
        <v>0.3</v>
      </c>
      <c r="N20" s="23"/>
      <c r="O20" s="23"/>
      <c r="P20" s="23" t="s">
        <v>98</v>
      </c>
      <c r="Q20" s="23"/>
      <c r="R20" s="23" t="str">
        <f>TEXT(AJ14,"#,##0.#######")</f>
        <v>0.2</v>
      </c>
      <c r="S20" s="23"/>
      <c r="T20" s="23"/>
      <c r="U20" s="23" t="s">
        <v>99</v>
      </c>
      <c r="V20" s="23" t="s">
        <v>98</v>
      </c>
      <c r="W20" s="23" t="s">
        <v>100</v>
      </c>
      <c r="X20" s="23" t="str">
        <f>TEXT(W7,"#,##0.#######")</f>
        <v>0.31</v>
      </c>
      <c r="Y20" s="23"/>
      <c r="Z20" s="23"/>
      <c r="AA20" s="23" t="s">
        <v>98</v>
      </c>
      <c r="AB20" s="23"/>
      <c r="AC20" s="23" t="str">
        <f>TEXT(AD7,"#,##0.#######")</f>
        <v>0.2</v>
      </c>
      <c r="AD20" s="23"/>
      <c r="AE20" s="23"/>
      <c r="AF20" s="23" t="s">
        <v>98</v>
      </c>
      <c r="AG20" s="23"/>
      <c r="AH20" s="23" t="str">
        <f>TEXT(AJ7,"#,##0.#######")</f>
        <v>0.31</v>
      </c>
      <c r="AI20" s="23"/>
      <c r="AJ20" s="23"/>
      <c r="AK20" s="23" t="s">
        <v>101</v>
      </c>
      <c r="AL20" s="23" t="s">
        <v>102</v>
      </c>
      <c r="AM20" s="23"/>
      <c r="AN20" s="23" t="str">
        <f>TEXT(O11,"#,##0.#######")</f>
        <v>0.2</v>
      </c>
      <c r="AO20" s="23"/>
      <c r="AP20" s="23"/>
      <c r="AQ20" s="23"/>
      <c r="AR20" s="23" t="s">
        <v>102</v>
      </c>
      <c r="AS20" s="23"/>
      <c r="AT20" s="23" t="str">
        <f>TEXT(0.5,"#,##0.#######")</f>
        <v>0.5</v>
      </c>
      <c r="AU20" s="23"/>
      <c r="AV20" s="23"/>
      <c r="AW20" s="23" t="s">
        <v>103</v>
      </c>
      <c r="AX20" s="23"/>
      <c r="AY20" s="23" t="str">
        <f>TEXT(ROUND((H20+M20+R20)+(X20+AC20+AH20)*AN20/AT20,2),"#,##0.#######")</f>
        <v>1.03</v>
      </c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7"/>
      <c r="CI20" s="27"/>
      <c r="CJ20" s="28"/>
      <c r="CK20" s="28"/>
      <c r="CL20" s="39"/>
    </row>
    <row r="21" spans="2:90" ht="18.75" customHeight="1" x14ac:dyDescent="0.25">
      <c r="B21" s="105"/>
      <c r="C21" s="106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7"/>
      <c r="CI21" s="27"/>
      <c r="CJ21" s="28"/>
      <c r="CK21" s="28"/>
      <c r="CL21" s="39"/>
    </row>
    <row r="22" spans="2:90" ht="18.75" customHeight="1" x14ac:dyDescent="0.25">
      <c r="B22" s="105"/>
      <c r="C22" s="106"/>
      <c r="D22" s="23" t="s">
        <v>22</v>
      </c>
      <c r="E22" s="23"/>
      <c r="F22" s="23"/>
      <c r="G22" s="23" t="s">
        <v>104</v>
      </c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7"/>
      <c r="CI22" s="27"/>
      <c r="CJ22" s="28"/>
      <c r="CK22" s="28"/>
      <c r="CL22" s="39"/>
    </row>
    <row r="23" spans="2:90" ht="18.75" customHeight="1" x14ac:dyDescent="0.25">
      <c r="B23" s="110"/>
      <c r="C23" s="111"/>
      <c r="D23" s="23"/>
      <c r="E23" s="23"/>
      <c r="F23" s="23"/>
      <c r="G23" s="23" t="s">
        <v>96</v>
      </c>
      <c r="H23" s="23"/>
      <c r="I23" s="23"/>
      <c r="J23" s="23"/>
      <c r="K23" s="23"/>
      <c r="L23" s="23"/>
      <c r="M23" s="23" t="str">
        <f>TEXT(AD14,"#,##0.#######")</f>
        <v>0.3</v>
      </c>
      <c r="N23" s="23"/>
      <c r="O23" s="23"/>
      <c r="P23" s="23"/>
      <c r="Q23" s="23"/>
      <c r="R23" s="23"/>
      <c r="S23" s="23"/>
      <c r="T23" s="23"/>
      <c r="U23" s="23"/>
      <c r="V23" s="23" t="s">
        <v>97</v>
      </c>
      <c r="W23" s="23"/>
      <c r="X23" s="23"/>
      <c r="Y23" s="23"/>
      <c r="Z23" s="23"/>
      <c r="AA23" s="23"/>
      <c r="AB23" s="23"/>
      <c r="AC23" s="23" t="str">
        <f>TEXT(AD7,"#,##0.#######")</f>
        <v>0.2</v>
      </c>
      <c r="AD23" s="23"/>
      <c r="AE23" s="23"/>
      <c r="AF23" s="23"/>
      <c r="AG23" s="23"/>
      <c r="AH23" s="23"/>
      <c r="AI23" s="23"/>
      <c r="AJ23" s="23"/>
      <c r="AK23" s="23" t="s">
        <v>101</v>
      </c>
      <c r="AL23" s="23" t="s">
        <v>102</v>
      </c>
      <c r="AM23" s="23"/>
      <c r="AN23" s="23" t="str">
        <f>TEXT(O11,"#,##0.#######")</f>
        <v>0.2</v>
      </c>
      <c r="AO23" s="23"/>
      <c r="AP23" s="23"/>
      <c r="AQ23" s="23"/>
      <c r="AR23" s="23" t="s">
        <v>102</v>
      </c>
      <c r="AS23" s="23"/>
      <c r="AT23" s="23" t="str">
        <f>TEXT(0.5,"#,##0.#######")</f>
        <v>0.5</v>
      </c>
      <c r="AU23" s="23"/>
      <c r="AV23" s="23"/>
      <c r="AW23" s="23" t="s">
        <v>103</v>
      </c>
      <c r="AX23" s="23"/>
      <c r="AY23" s="23" t="str">
        <f>TEXT(ROUND((H23+M23+R23)+(X23+AC23+AH23)*AN23/AT23,2),"#,##0.#######")</f>
        <v>0.38</v>
      </c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7"/>
      <c r="CI23" s="27"/>
      <c r="CJ23" s="28"/>
      <c r="CK23" s="28"/>
      <c r="CL23" s="39"/>
    </row>
    <row r="24" spans="2:90" ht="18.75" customHeight="1" x14ac:dyDescent="0.25">
      <c r="B24" s="105"/>
      <c r="C24" s="106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7"/>
      <c r="CI24" s="27"/>
      <c r="CJ24" s="28"/>
      <c r="CK24" s="28"/>
      <c r="CL24" s="39"/>
    </row>
    <row r="25" spans="2:90" ht="18.75" customHeight="1" x14ac:dyDescent="0.25">
      <c r="B25" s="105"/>
      <c r="C25" s="106"/>
      <c r="D25" s="23" t="s">
        <v>86</v>
      </c>
      <c r="E25" s="23"/>
      <c r="F25" s="23"/>
      <c r="G25" s="23" t="s">
        <v>105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7"/>
      <c r="CI25" s="27"/>
      <c r="CJ25" s="28"/>
      <c r="CK25" s="28"/>
      <c r="CL25" s="39"/>
    </row>
    <row r="26" spans="2:90" ht="18.75" customHeight="1" x14ac:dyDescent="0.25">
      <c r="B26" s="105"/>
      <c r="C26" s="106"/>
      <c r="D26" s="23"/>
      <c r="E26" s="23"/>
      <c r="F26" s="23"/>
      <c r="G26" s="23"/>
      <c r="H26" s="23"/>
      <c r="I26" s="23"/>
      <c r="J26" s="23"/>
      <c r="K26" s="23"/>
      <c r="L26" s="23"/>
      <c r="M26" s="23" t="str">
        <f>TEXT(AY20,"#,##0.#######")</f>
        <v>1.03</v>
      </c>
      <c r="N26" s="23"/>
      <c r="O26" s="23"/>
      <c r="P26" s="23"/>
      <c r="Q26" s="23"/>
      <c r="R26" s="23"/>
      <c r="S26" s="23"/>
      <c r="T26" s="23"/>
      <c r="U26" s="23"/>
      <c r="V26" s="23" t="s">
        <v>106</v>
      </c>
      <c r="W26" s="23"/>
      <c r="X26" s="23"/>
      <c r="Y26" s="23"/>
      <c r="Z26" s="23"/>
      <c r="AA26" s="23"/>
      <c r="AB26" s="23"/>
      <c r="AC26" s="23" t="str">
        <f>TEXT(AY23,"#,##0.#######")</f>
        <v>0.38</v>
      </c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 t="s">
        <v>103</v>
      </c>
      <c r="AX26" s="23"/>
      <c r="AY26" s="23" t="str">
        <f>TEXT(ROUND(M26-AC26,2),"#,##0.#######")</f>
        <v>0.65</v>
      </c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7"/>
      <c r="CI26" s="27"/>
      <c r="CJ26" s="28"/>
      <c r="CK26" s="28"/>
      <c r="CL26" s="39"/>
    </row>
    <row r="27" spans="2:90" ht="18.75" customHeight="1" x14ac:dyDescent="0.25">
      <c r="B27" s="105"/>
      <c r="C27" s="106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7"/>
      <c r="CI27" s="27"/>
      <c r="CJ27" s="28"/>
      <c r="CK27" s="28"/>
      <c r="CL27" s="39"/>
    </row>
    <row r="28" spans="2:90" ht="18.75" customHeight="1" x14ac:dyDescent="0.25">
      <c r="B28" s="105"/>
      <c r="C28" s="106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7"/>
      <c r="CI28" s="27"/>
      <c r="CJ28" s="28"/>
      <c r="CK28" s="28"/>
      <c r="CL28" s="39"/>
    </row>
    <row r="29" spans="2:90" ht="18.75" customHeight="1" x14ac:dyDescent="0.25">
      <c r="B29" s="105"/>
      <c r="C29" s="106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7"/>
      <c r="CI29" s="27"/>
      <c r="CJ29" s="28"/>
      <c r="CK29" s="28"/>
      <c r="CL29" s="39"/>
    </row>
    <row r="30" spans="2:90" ht="18.75" customHeight="1" x14ac:dyDescent="0.25">
      <c r="B30" s="105"/>
      <c r="C30" s="106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7"/>
      <c r="CI30" s="27"/>
      <c r="CJ30" s="28"/>
      <c r="CK30" s="28"/>
      <c r="CL30" s="39"/>
    </row>
    <row r="31" spans="2:90" ht="18.75" customHeight="1" x14ac:dyDescent="0.25">
      <c r="B31" s="105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13"/>
      <c r="CI31" s="113"/>
      <c r="CJ31" s="114"/>
      <c r="CK31" s="114"/>
      <c r="CL31" s="115"/>
    </row>
    <row r="32" spans="2:90" ht="18.75" customHeight="1" x14ac:dyDescent="0.25">
      <c r="B32" s="105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13"/>
      <c r="CI32" s="113"/>
      <c r="CJ32" s="114"/>
      <c r="CK32" s="114"/>
      <c r="CL32" s="115"/>
    </row>
    <row r="33" spans="2:90" ht="18.75" customHeight="1" x14ac:dyDescent="0.25">
      <c r="B33" s="105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13"/>
      <c r="CI33" s="113"/>
      <c r="CJ33" s="114"/>
      <c r="CK33" s="114"/>
      <c r="CL33" s="115"/>
    </row>
    <row r="34" spans="2:90" ht="18.75" customHeight="1" x14ac:dyDescent="0.25">
      <c r="B34" s="105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13"/>
      <c r="CI34" s="113"/>
      <c r="CJ34" s="114"/>
      <c r="CK34" s="114"/>
      <c r="CL34" s="115"/>
    </row>
    <row r="35" spans="2:90" ht="18.75" customHeight="1" x14ac:dyDescent="0.25">
      <c r="B35" s="105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13"/>
      <c r="CI35" s="113"/>
      <c r="CJ35" s="114"/>
      <c r="CK35" s="114"/>
      <c r="CL35" s="115"/>
    </row>
    <row r="36" spans="2:90" ht="18.75" customHeight="1" x14ac:dyDescent="0.25">
      <c r="B36" s="105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7"/>
      <c r="CI36" s="107"/>
      <c r="CJ36" s="108"/>
      <c r="CK36" s="108"/>
      <c r="CL36" s="109"/>
    </row>
    <row r="37" spans="2:90" ht="18.75" customHeight="1" x14ac:dyDescent="0.25">
      <c r="B37" s="110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  <c r="BM37" s="111"/>
      <c r="BN37" s="111"/>
      <c r="BO37" s="111"/>
      <c r="BP37" s="111"/>
      <c r="BQ37" s="111"/>
      <c r="BR37" s="111"/>
      <c r="BS37" s="111"/>
      <c r="BT37" s="111"/>
      <c r="BU37" s="111"/>
      <c r="BV37" s="111"/>
      <c r="BW37" s="111"/>
      <c r="BX37" s="111"/>
      <c r="BY37" s="111"/>
      <c r="BZ37" s="111"/>
      <c r="CA37" s="111"/>
      <c r="CB37" s="111"/>
      <c r="CC37" s="111"/>
      <c r="CD37" s="111"/>
      <c r="CE37" s="111"/>
      <c r="CF37" s="111"/>
      <c r="CG37" s="111"/>
      <c r="CH37" s="107"/>
      <c r="CI37" s="107"/>
      <c r="CJ37" s="108"/>
      <c r="CK37" s="108"/>
      <c r="CL37" s="112"/>
    </row>
    <row r="38" spans="2:90" ht="18.75" customHeight="1" x14ac:dyDescent="0.25">
      <c r="B38" s="105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13"/>
      <c r="CI38" s="113"/>
      <c r="CJ38" s="114"/>
      <c r="CK38" s="114"/>
      <c r="CL38" s="115"/>
    </row>
    <row r="39" spans="2:90" ht="18.75" customHeight="1" x14ac:dyDescent="0.25">
      <c r="B39" s="105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16"/>
      <c r="AC39" s="116"/>
      <c r="AD39" s="106"/>
      <c r="AE39" s="116"/>
      <c r="AF39" s="116"/>
      <c r="AG39" s="116"/>
      <c r="AH39" s="11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13"/>
      <c r="CI39" s="113"/>
      <c r="CJ39" s="114"/>
      <c r="CK39" s="114"/>
      <c r="CL39" s="115"/>
    </row>
    <row r="40" spans="2:90" ht="18.75" customHeight="1" x14ac:dyDescent="0.25">
      <c r="B40" s="105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  <c r="BV40" s="106"/>
      <c r="BW40" s="106"/>
      <c r="BX40" s="106"/>
      <c r="BY40" s="106"/>
      <c r="BZ40" s="106"/>
      <c r="CA40" s="106"/>
      <c r="CB40" s="106"/>
      <c r="CC40" s="106"/>
      <c r="CD40" s="106"/>
      <c r="CE40" s="106"/>
      <c r="CF40" s="106"/>
      <c r="CG40" s="106"/>
      <c r="CH40" s="113"/>
      <c r="CI40" s="113"/>
      <c r="CJ40" s="114"/>
      <c r="CK40" s="114"/>
      <c r="CL40" s="115"/>
    </row>
    <row r="41" spans="2:90" ht="18.75" customHeight="1" x14ac:dyDescent="0.25">
      <c r="B41" s="105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13"/>
      <c r="CI41" s="113"/>
      <c r="CJ41" s="114"/>
      <c r="CK41" s="114"/>
      <c r="CL41" s="115"/>
    </row>
    <row r="42" spans="2:90" ht="18.75" customHeight="1" x14ac:dyDescent="0.25">
      <c r="B42" s="105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16"/>
      <c r="BB42" s="11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13"/>
      <c r="CI42" s="113"/>
      <c r="CJ42" s="114"/>
      <c r="CK42" s="114"/>
      <c r="CL42" s="115"/>
    </row>
    <row r="43" spans="2:90" ht="18.75" customHeight="1" x14ac:dyDescent="0.25">
      <c r="B43" s="105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13"/>
      <c r="CI43" s="113"/>
      <c r="CJ43" s="114"/>
      <c r="CK43" s="114"/>
      <c r="CL43" s="115"/>
    </row>
    <row r="44" spans="2:90" ht="18.75" customHeight="1" x14ac:dyDescent="0.25">
      <c r="B44" s="105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13"/>
      <c r="CI44" s="113"/>
      <c r="CJ44" s="114"/>
      <c r="CK44" s="114"/>
      <c r="CL44" s="115"/>
    </row>
    <row r="45" spans="2:90" ht="18.75" customHeight="1" x14ac:dyDescent="0.25">
      <c r="B45" s="105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13"/>
      <c r="CI45" s="113"/>
      <c r="CJ45" s="114"/>
      <c r="CK45" s="114"/>
      <c r="CL45" s="115"/>
    </row>
    <row r="46" spans="2:90" ht="18.75" customHeight="1" x14ac:dyDescent="0.25">
      <c r="B46" s="105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13"/>
      <c r="CI46" s="113"/>
      <c r="CJ46" s="114"/>
      <c r="CK46" s="114"/>
      <c r="CL46" s="115"/>
    </row>
    <row r="47" spans="2:90" ht="18.75" customHeight="1" x14ac:dyDescent="0.25">
      <c r="B47" s="105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13"/>
      <c r="CI47" s="113"/>
      <c r="CJ47" s="114"/>
      <c r="CK47" s="114"/>
      <c r="CL47" s="115"/>
    </row>
    <row r="48" spans="2:90" ht="18.75" customHeight="1" x14ac:dyDescent="0.25">
      <c r="B48" s="105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13"/>
      <c r="CI48" s="113"/>
      <c r="CJ48" s="114"/>
      <c r="CK48" s="114"/>
      <c r="CL48" s="115"/>
    </row>
    <row r="49" spans="2:90" ht="18.75" customHeight="1" x14ac:dyDescent="0.25">
      <c r="B49" s="105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13"/>
      <c r="CI49" s="113"/>
      <c r="CJ49" s="114"/>
      <c r="CK49" s="114"/>
      <c r="CL49" s="115"/>
    </row>
    <row r="50" spans="2:90" ht="18.75" customHeight="1" x14ac:dyDescent="0.25">
      <c r="B50" s="105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13"/>
      <c r="CI50" s="113"/>
      <c r="CJ50" s="114"/>
      <c r="CK50" s="114"/>
      <c r="CL50" s="115"/>
    </row>
    <row r="51" spans="2:90" ht="18.75" customHeight="1" x14ac:dyDescent="0.25">
      <c r="B51" s="110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/>
      <c r="CA51" s="111"/>
      <c r="CB51" s="111"/>
      <c r="CC51" s="111"/>
      <c r="CD51" s="111"/>
      <c r="CE51" s="111"/>
      <c r="CF51" s="111"/>
      <c r="CG51" s="111"/>
      <c r="CH51" s="107"/>
      <c r="CI51" s="107"/>
      <c r="CJ51" s="108"/>
      <c r="CK51" s="108"/>
      <c r="CL51" s="112"/>
    </row>
    <row r="52" spans="2:90" ht="18.75" customHeight="1" x14ac:dyDescent="0.25">
      <c r="B52" s="105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7"/>
      <c r="CI52" s="107"/>
      <c r="CJ52" s="108"/>
      <c r="CK52" s="108"/>
      <c r="CL52" s="128"/>
    </row>
    <row r="53" spans="2:90" ht="18.75" customHeight="1" x14ac:dyDescent="0.25">
      <c r="B53" s="105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7"/>
      <c r="CI53" s="107"/>
      <c r="CJ53" s="108"/>
      <c r="CK53" s="108"/>
      <c r="CL53" s="109"/>
    </row>
    <row r="54" spans="2:90" ht="18.75" customHeight="1" x14ac:dyDescent="0.25">
      <c r="B54" s="105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7"/>
      <c r="CI54" s="129"/>
      <c r="CJ54" s="108"/>
      <c r="CK54" s="108"/>
      <c r="CL54" s="109"/>
    </row>
    <row r="55" spans="2:90" ht="18.75" customHeight="1" x14ac:dyDescent="0.25">
      <c r="B55" s="105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7"/>
      <c r="CI55" s="107"/>
      <c r="CJ55" s="108"/>
      <c r="CK55" s="108"/>
      <c r="CL55" s="109"/>
    </row>
    <row r="56" spans="2:90" ht="18.75" customHeight="1" x14ac:dyDescent="0.25">
      <c r="B56" s="117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7"/>
      <c r="CI56" s="107"/>
      <c r="CJ56" s="108"/>
      <c r="CK56" s="108"/>
      <c r="CL56" s="112"/>
    </row>
    <row r="57" spans="2:90" ht="18.75" customHeight="1" x14ac:dyDescent="0.25">
      <c r="B57" s="105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13"/>
      <c r="CI57" s="113"/>
      <c r="CJ57" s="114"/>
      <c r="CK57" s="114"/>
      <c r="CL57" s="115"/>
    </row>
    <row r="58" spans="2:90" ht="18.75" customHeight="1" x14ac:dyDescent="0.25">
      <c r="B58" s="105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16"/>
      <c r="AC58" s="116"/>
      <c r="AD58" s="106"/>
      <c r="AE58" s="116"/>
      <c r="AF58" s="116"/>
      <c r="AG58" s="116"/>
      <c r="AH58" s="11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13"/>
      <c r="CI58" s="113"/>
      <c r="CJ58" s="114"/>
      <c r="CK58" s="114"/>
      <c r="CL58" s="115"/>
    </row>
    <row r="59" spans="2:90" ht="18.75" customHeight="1" x14ac:dyDescent="0.25">
      <c r="B59" s="105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13"/>
      <c r="CI59" s="113"/>
      <c r="CJ59" s="114"/>
      <c r="CK59" s="114"/>
      <c r="CL59" s="115"/>
    </row>
    <row r="60" spans="2:90" ht="18.75" customHeight="1" x14ac:dyDescent="0.25">
      <c r="B60" s="105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13"/>
      <c r="CI60" s="113"/>
      <c r="CJ60" s="114"/>
      <c r="CK60" s="114"/>
      <c r="CL60" s="115"/>
    </row>
    <row r="61" spans="2:90" ht="18.75" customHeight="1" x14ac:dyDescent="0.25">
      <c r="B61" s="105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16"/>
      <c r="BB61" s="11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13"/>
      <c r="CI61" s="113"/>
      <c r="CJ61" s="114"/>
      <c r="CK61" s="114"/>
      <c r="CL61" s="115"/>
    </row>
    <row r="62" spans="2:90" ht="18.75" customHeight="1" x14ac:dyDescent="0.25">
      <c r="B62" s="105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13"/>
      <c r="CI62" s="113"/>
      <c r="CJ62" s="114"/>
      <c r="CK62" s="114"/>
      <c r="CL62" s="115"/>
    </row>
    <row r="63" spans="2:90" ht="18.75" customHeight="1" x14ac:dyDescent="0.25">
      <c r="B63" s="105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13"/>
      <c r="CI63" s="113"/>
      <c r="CJ63" s="114"/>
      <c r="CK63" s="114"/>
      <c r="CL63" s="115"/>
    </row>
    <row r="64" spans="2:90" ht="18.75" customHeight="1" x14ac:dyDescent="0.25">
      <c r="B64" s="105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13"/>
      <c r="CI64" s="113"/>
      <c r="CJ64" s="114"/>
      <c r="CK64" s="114"/>
      <c r="CL64" s="115"/>
    </row>
    <row r="65" spans="2:90" ht="18.75" customHeight="1" x14ac:dyDescent="0.25">
      <c r="B65" s="105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13"/>
      <c r="CI65" s="113"/>
      <c r="CJ65" s="114"/>
      <c r="CK65" s="114"/>
      <c r="CL65" s="115"/>
    </row>
    <row r="66" spans="2:90" ht="18.75" customHeight="1" x14ac:dyDescent="0.25">
      <c r="B66" s="105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13"/>
      <c r="CI66" s="113"/>
      <c r="CJ66" s="114"/>
      <c r="CK66" s="114"/>
      <c r="CL66" s="115"/>
    </row>
    <row r="67" spans="2:90" ht="18.75" customHeight="1" x14ac:dyDescent="0.25">
      <c r="B67" s="105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13"/>
      <c r="CI67" s="113"/>
      <c r="CJ67" s="114"/>
      <c r="CK67" s="114"/>
      <c r="CL67" s="115"/>
    </row>
    <row r="68" spans="2:90" ht="18.75" customHeight="1" x14ac:dyDescent="0.25">
      <c r="B68" s="105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13"/>
      <c r="CI68" s="113"/>
      <c r="CJ68" s="114"/>
      <c r="CK68" s="114"/>
      <c r="CL68" s="115"/>
    </row>
    <row r="69" spans="2:90" ht="18.75" customHeight="1" x14ac:dyDescent="0.25">
      <c r="B69" s="118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19"/>
      <c r="AU69" s="119"/>
      <c r="AV69" s="119"/>
      <c r="AW69" s="119"/>
      <c r="AX69" s="119"/>
      <c r="AY69" s="119"/>
      <c r="AZ69" s="119"/>
      <c r="BA69" s="119"/>
      <c r="BB69" s="119"/>
      <c r="BC69" s="119"/>
      <c r="BD69" s="119"/>
      <c r="BE69" s="119"/>
      <c r="BF69" s="119"/>
      <c r="BG69" s="119"/>
      <c r="BH69" s="119"/>
      <c r="BI69" s="119"/>
      <c r="BJ69" s="119"/>
      <c r="BK69" s="119"/>
      <c r="BL69" s="119"/>
      <c r="BM69" s="119"/>
      <c r="BN69" s="119"/>
      <c r="BO69" s="119"/>
      <c r="BP69" s="119"/>
      <c r="BQ69" s="119"/>
      <c r="BR69" s="119"/>
      <c r="BS69" s="119"/>
      <c r="BT69" s="119"/>
      <c r="BU69" s="119"/>
      <c r="BV69" s="119"/>
      <c r="BW69" s="119"/>
      <c r="BX69" s="119"/>
      <c r="BY69" s="119"/>
      <c r="BZ69" s="119"/>
      <c r="CA69" s="119"/>
      <c r="CB69" s="119"/>
      <c r="CC69" s="119"/>
      <c r="CD69" s="119"/>
      <c r="CE69" s="119"/>
      <c r="CF69" s="119"/>
      <c r="CG69" s="119"/>
      <c r="CH69" s="120"/>
      <c r="CI69" s="120"/>
      <c r="CJ69" s="121"/>
      <c r="CK69" s="121"/>
      <c r="CL69" s="122"/>
    </row>
    <row r="70" spans="2:90" ht="19.5" customHeight="1" x14ac:dyDescent="0.25">
      <c r="B70" s="123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  <c r="AN70" s="124"/>
      <c r="AO70" s="124"/>
      <c r="AP70" s="124"/>
      <c r="AQ70" s="124"/>
      <c r="AR70" s="124"/>
      <c r="AS70" s="124"/>
      <c r="AT70" s="124"/>
      <c r="AU70" s="124"/>
      <c r="AV70" s="124"/>
      <c r="AW70" s="124"/>
      <c r="AX70" s="124"/>
      <c r="AY70" s="124"/>
      <c r="AZ70" s="124"/>
      <c r="BA70" s="124"/>
      <c r="BB70" s="124"/>
      <c r="BC70" s="124"/>
      <c r="BD70" s="124"/>
      <c r="BE70" s="124"/>
      <c r="BF70" s="124"/>
      <c r="BG70" s="124"/>
      <c r="BH70" s="124"/>
      <c r="BI70" s="124"/>
      <c r="BJ70" s="124"/>
      <c r="BK70" s="124"/>
      <c r="BL70" s="124"/>
      <c r="BM70" s="124"/>
      <c r="BN70" s="124"/>
      <c r="BO70" s="124"/>
      <c r="BP70" s="124"/>
      <c r="BQ70" s="124"/>
      <c r="BR70" s="124"/>
      <c r="BS70" s="124"/>
      <c r="BT70" s="124"/>
      <c r="BU70" s="124"/>
      <c r="BV70" s="124"/>
      <c r="BW70" s="124"/>
      <c r="BX70" s="124"/>
      <c r="BY70" s="124"/>
      <c r="BZ70" s="124"/>
      <c r="CA70" s="124"/>
      <c r="CB70" s="124"/>
      <c r="CC70" s="124"/>
      <c r="CD70" s="124"/>
      <c r="CE70" s="124"/>
      <c r="CF70" s="124"/>
      <c r="CG70" s="124"/>
      <c r="CH70" s="125"/>
      <c r="CI70" s="125"/>
      <c r="CJ70" s="126"/>
      <c r="CK70" s="126"/>
      <c r="CL70" s="130"/>
    </row>
    <row r="71" spans="2:90" ht="19.5" customHeight="1" x14ac:dyDescent="0.25">
      <c r="B71" s="105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13"/>
      <c r="CI71" s="113"/>
      <c r="CJ71" s="114"/>
      <c r="CK71" s="114"/>
      <c r="CL71" s="115"/>
    </row>
    <row r="72" spans="2:90" ht="19.5" customHeight="1" x14ac:dyDescent="0.25">
      <c r="B72" s="105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16"/>
      <c r="AC72" s="116"/>
      <c r="AD72" s="106"/>
      <c r="AE72" s="116"/>
      <c r="AF72" s="116"/>
      <c r="AG72" s="116"/>
      <c r="AH72" s="11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13"/>
      <c r="CI72" s="113"/>
      <c r="CJ72" s="114"/>
      <c r="CK72" s="114"/>
      <c r="CL72" s="115"/>
    </row>
    <row r="73" spans="2:90" ht="19.5" customHeight="1" x14ac:dyDescent="0.25">
      <c r="B73" s="26"/>
      <c r="C73" s="23"/>
      <c r="D73" s="23"/>
      <c r="E73" s="23"/>
      <c r="F73" s="23"/>
      <c r="G73" s="23" t="s">
        <v>107</v>
      </c>
      <c r="H73" s="23"/>
      <c r="I73" s="23" t="s">
        <v>103</v>
      </c>
      <c r="J73" s="23"/>
      <c r="K73" s="23" t="str">
        <f>TEXT(0.65,"#,##0.#######")</f>
        <v>0.65</v>
      </c>
      <c r="L73" s="23"/>
      <c r="M73" s="23"/>
      <c r="N73" s="23"/>
      <c r="O73" s="23"/>
      <c r="P73" s="23"/>
      <c r="Q73" s="23"/>
      <c r="R73" s="23"/>
      <c r="S73" s="23" t="s">
        <v>108</v>
      </c>
      <c r="T73" s="23"/>
      <c r="U73" s="23"/>
      <c r="V73" s="23" t="s">
        <v>103</v>
      </c>
      <c r="W73" s="23"/>
      <c r="X73" s="23" t="str">
        <f>TEXT(13,"#,##0.#######")</f>
        <v>13.</v>
      </c>
      <c r="Y73" s="23"/>
      <c r="Z73" s="23"/>
      <c r="AA73" s="23" t="s">
        <v>109</v>
      </c>
      <c r="AB73" s="23"/>
      <c r="AC73" s="23"/>
      <c r="AD73" s="23"/>
      <c r="AE73" s="23" t="s">
        <v>96</v>
      </c>
      <c r="AF73" s="23" t="str">
        <f>TEXT(45,"#,##0.#######")</f>
        <v>45.</v>
      </c>
      <c r="AG73" s="23"/>
      <c r="AH73" s="23" t="s">
        <v>110</v>
      </c>
      <c r="AI73" s="23"/>
      <c r="AJ73" s="23" t="s">
        <v>101</v>
      </c>
      <c r="AK73" s="23" t="s">
        <v>111</v>
      </c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7"/>
      <c r="CI73" s="27"/>
      <c r="CJ73" s="28"/>
      <c r="CK73" s="28"/>
      <c r="CL73" s="39"/>
    </row>
    <row r="74" spans="2:90" ht="19.5" customHeight="1" x14ac:dyDescent="0.25">
      <c r="B74" s="26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7"/>
      <c r="CI74" s="27"/>
      <c r="CJ74" s="28"/>
      <c r="CK74" s="28"/>
      <c r="CL74" s="39"/>
    </row>
    <row r="75" spans="2:90" ht="19.5" customHeight="1" x14ac:dyDescent="0.25">
      <c r="B75" s="26"/>
      <c r="C75" s="23"/>
      <c r="D75" s="23"/>
      <c r="E75" s="23"/>
      <c r="F75" s="23"/>
      <c r="G75" s="23"/>
      <c r="H75" s="23"/>
      <c r="I75" s="23"/>
      <c r="J75" s="23"/>
      <c r="K75" s="23"/>
      <c r="L75" s="23" t="str">
        <f>TEXT(3600,"#,##0.#######")</f>
        <v>3,600.</v>
      </c>
      <c r="M75" s="23"/>
      <c r="N75" s="23"/>
      <c r="O75" s="23"/>
      <c r="P75" s="23"/>
      <c r="Q75" s="23" t="s">
        <v>102</v>
      </c>
      <c r="R75" s="23"/>
      <c r="S75" s="23" t="s">
        <v>112</v>
      </c>
      <c r="T75" s="23" t="s">
        <v>102</v>
      </c>
      <c r="U75" s="23"/>
      <c r="V75" s="23" t="s">
        <v>113</v>
      </c>
      <c r="W75" s="23" t="s">
        <v>102</v>
      </c>
      <c r="X75" s="23"/>
      <c r="Y75" s="23" t="s">
        <v>114</v>
      </c>
      <c r="Z75" s="23" t="s">
        <v>102</v>
      </c>
      <c r="AA75" s="23"/>
      <c r="AB75" s="23" t="s">
        <v>107</v>
      </c>
      <c r="AC75" s="23"/>
      <c r="AD75" s="23"/>
      <c r="AE75" s="23"/>
      <c r="AF75" s="23"/>
      <c r="AG75" s="23"/>
      <c r="AH75" s="23"/>
      <c r="AI75" s="23" t="str">
        <f>TEXT(L75,"#,##0.#######")</f>
        <v>3,600.</v>
      </c>
      <c r="AJ75" s="23"/>
      <c r="AK75" s="23"/>
      <c r="AL75" s="23"/>
      <c r="AM75" s="23"/>
      <c r="AN75" s="23" t="s">
        <v>102</v>
      </c>
      <c r="AO75" s="23"/>
      <c r="AP75" s="23" t="str">
        <f>TEXT(K72,"#,##0.#######")</f>
        <v>0.</v>
      </c>
      <c r="AQ75" s="23"/>
      <c r="AR75" s="23"/>
      <c r="AS75" s="23" t="s">
        <v>102</v>
      </c>
      <c r="AT75" s="23"/>
      <c r="AU75" s="23" t="str">
        <f>TEXT(AM72,"#,##0.#######")</f>
        <v>0.</v>
      </c>
      <c r="AV75" s="23"/>
      <c r="AW75" s="23"/>
      <c r="AX75" s="23" t="s">
        <v>102</v>
      </c>
      <c r="AY75" s="23"/>
      <c r="AZ75" s="23" t="str">
        <f>TEXT(AD72,"#,##0.#######")</f>
        <v>0.</v>
      </c>
      <c r="BA75" s="29"/>
      <c r="BB75" s="29"/>
      <c r="BC75" s="23" t="s">
        <v>102</v>
      </c>
      <c r="BD75" s="23"/>
      <c r="BE75" s="23" t="str">
        <f>TEXT(K73,"#,##0.#######")</f>
        <v>0.65</v>
      </c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7"/>
      <c r="CI75" s="27"/>
      <c r="CJ75" s="28"/>
      <c r="CK75" s="28"/>
      <c r="CL75" s="39"/>
    </row>
    <row r="76" spans="2:90" ht="19.5" customHeight="1" x14ac:dyDescent="0.25">
      <c r="B76" s="26"/>
      <c r="C76" s="23"/>
      <c r="D76" s="23"/>
      <c r="E76" s="23"/>
      <c r="F76" s="23"/>
      <c r="G76" s="23" t="s">
        <v>115</v>
      </c>
      <c r="H76" s="23"/>
      <c r="I76" s="23" t="s">
        <v>103</v>
      </c>
      <c r="J76" s="23"/>
      <c r="K76" s="23" t="s">
        <v>116</v>
      </c>
      <c r="L76" s="23"/>
      <c r="M76" s="23" t="s">
        <v>116</v>
      </c>
      <c r="N76" s="23"/>
      <c r="O76" s="23" t="s">
        <v>116</v>
      </c>
      <c r="P76" s="23"/>
      <c r="Q76" s="23" t="s">
        <v>116</v>
      </c>
      <c r="R76" s="23"/>
      <c r="S76" s="23" t="s">
        <v>116</v>
      </c>
      <c r="T76" s="23"/>
      <c r="U76" s="23" t="s">
        <v>116</v>
      </c>
      <c r="V76" s="23"/>
      <c r="W76" s="23" t="s">
        <v>116</v>
      </c>
      <c r="X76" s="23"/>
      <c r="Y76" s="23" t="s">
        <v>116</v>
      </c>
      <c r="Z76" s="23"/>
      <c r="AA76" s="23" t="s">
        <v>116</v>
      </c>
      <c r="AB76" s="23"/>
      <c r="AC76" s="23" t="s">
        <v>116</v>
      </c>
      <c r="AD76" s="23"/>
      <c r="AE76" s="23"/>
      <c r="AF76" s="23" t="s">
        <v>103</v>
      </c>
      <c r="AG76" s="23"/>
      <c r="AH76" s="23" t="s">
        <v>116</v>
      </c>
      <c r="AI76" s="23"/>
      <c r="AJ76" s="23" t="s">
        <v>116</v>
      </c>
      <c r="AK76" s="23"/>
      <c r="AL76" s="23" t="s">
        <v>116</v>
      </c>
      <c r="AM76" s="23"/>
      <c r="AN76" s="23" t="s">
        <v>116</v>
      </c>
      <c r="AO76" s="23"/>
      <c r="AP76" s="23" t="s">
        <v>116</v>
      </c>
      <c r="AQ76" s="23"/>
      <c r="AR76" s="23" t="s">
        <v>116</v>
      </c>
      <c r="AS76" s="23"/>
      <c r="AT76" s="23" t="s">
        <v>116</v>
      </c>
      <c r="AU76" s="23"/>
      <c r="AV76" s="23" t="s">
        <v>116</v>
      </c>
      <c r="AW76" s="23"/>
      <c r="AX76" s="23" t="s">
        <v>116</v>
      </c>
      <c r="AY76" s="23"/>
      <c r="AZ76" s="23" t="s">
        <v>116</v>
      </c>
      <c r="BA76" s="23"/>
      <c r="BB76" s="23" t="s">
        <v>116</v>
      </c>
      <c r="BC76" s="23"/>
      <c r="BD76" s="23" t="s">
        <v>116</v>
      </c>
      <c r="BE76" s="23"/>
      <c r="BF76" s="23" t="s">
        <v>116</v>
      </c>
      <c r="BG76" s="23"/>
      <c r="BH76" s="23"/>
      <c r="BI76" s="23" t="s">
        <v>103</v>
      </c>
      <c r="BJ76" s="23"/>
      <c r="BK76" s="23" t="str">
        <f>TEXT(ROUND((3600*K72*AM72*AD72*K73)/(X73),2),"#,##0.#######")</f>
        <v>0.</v>
      </c>
      <c r="BL76" s="23"/>
      <c r="BM76" s="23"/>
      <c r="BN76" s="23"/>
      <c r="BO76" s="23"/>
      <c r="BP76" s="23"/>
      <c r="BQ76" s="23"/>
      <c r="BR76" s="23" t="s">
        <v>117</v>
      </c>
      <c r="BS76" s="23"/>
      <c r="BT76" s="23" t="s">
        <v>118</v>
      </c>
      <c r="BU76" s="23" t="s">
        <v>119</v>
      </c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7"/>
      <c r="CI76" s="27"/>
      <c r="CJ76" s="28"/>
      <c r="CK76" s="28"/>
      <c r="CL76" s="39"/>
    </row>
    <row r="77" spans="2:90" ht="19.5" customHeight="1" x14ac:dyDescent="0.25">
      <c r="B77" s="26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 t="s">
        <v>108</v>
      </c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 t="str">
        <f>TEXT(X73,"#,##0.#######")</f>
        <v>13.</v>
      </c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7"/>
      <c r="CI77" s="27"/>
      <c r="CJ77" s="28"/>
      <c r="CK77" s="28"/>
      <c r="CL77" s="39"/>
    </row>
    <row r="78" spans="2:90" ht="19.5" customHeight="1" x14ac:dyDescent="0.25">
      <c r="B78" s="26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7"/>
      <c r="CI78" s="27"/>
      <c r="CJ78" s="28"/>
      <c r="CK78" s="28"/>
      <c r="CL78" s="39"/>
    </row>
    <row r="79" spans="2:90" ht="19.5" customHeight="1" x14ac:dyDescent="0.25">
      <c r="B79" s="26"/>
      <c r="C79" s="23"/>
      <c r="D79" s="23"/>
      <c r="E79" s="23"/>
      <c r="F79" s="23"/>
      <c r="G79" s="23" t="s">
        <v>120</v>
      </c>
      <c r="H79" s="23"/>
      <c r="I79" s="23"/>
      <c r="J79" s="23"/>
      <c r="K79" s="23"/>
      <c r="L79" s="23"/>
      <c r="M79" s="23"/>
      <c r="N79" s="23" t="s">
        <v>121</v>
      </c>
      <c r="O79" s="23"/>
      <c r="P79" s="23" t="str">
        <f>TEXT([1]기계경비총괄표!G6,"#,##0.#######")</f>
        <v>42,267.</v>
      </c>
      <c r="Q79" s="23"/>
      <c r="R79" s="23"/>
      <c r="S79" s="23"/>
      <c r="T79" s="23"/>
      <c r="U79" s="23"/>
      <c r="V79" s="23"/>
      <c r="W79" s="23"/>
      <c r="X79" s="23"/>
      <c r="Y79" s="23" t="s">
        <v>122</v>
      </c>
      <c r="Z79" s="23"/>
      <c r="AA79" s="23"/>
      <c r="AB79" s="23" t="str">
        <f>TEXT(BK76,"#,##0.#######")</f>
        <v>0.</v>
      </c>
      <c r="AC79" s="23"/>
      <c r="AD79" s="23"/>
      <c r="AE79" s="23"/>
      <c r="AF79" s="23"/>
      <c r="AG79" s="23" t="s">
        <v>103</v>
      </c>
      <c r="AH79" s="23"/>
      <c r="AI79" s="23" t="e">
        <f>TEXT(TRUNC(P79/BK76,1),"#,##0.#")</f>
        <v>#DIV/0!</v>
      </c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7"/>
      <c r="CI79" s="27" t="e">
        <f>AI79</f>
        <v>#DIV/0!</v>
      </c>
      <c r="CJ79" s="28"/>
      <c r="CK79" s="28"/>
      <c r="CL79" s="39"/>
    </row>
    <row r="80" spans="2:90" ht="19.5" customHeight="1" x14ac:dyDescent="0.25">
      <c r="B80" s="26"/>
      <c r="C80" s="23"/>
      <c r="D80" s="23"/>
      <c r="E80" s="23"/>
      <c r="F80" s="23"/>
      <c r="G80" s="23" t="s">
        <v>123</v>
      </c>
      <c r="H80" s="23"/>
      <c r="I80" s="23"/>
      <c r="J80" s="23"/>
      <c r="K80" s="23"/>
      <c r="L80" s="23"/>
      <c r="M80" s="23"/>
      <c r="N80" s="23" t="s">
        <v>121</v>
      </c>
      <c r="O80" s="23"/>
      <c r="P80" s="23" t="str">
        <f>TEXT([1]기계경비총괄표!F6,"#,##0.#######")</f>
        <v>7,520.1</v>
      </c>
      <c r="Q80" s="23"/>
      <c r="R80" s="23"/>
      <c r="S80" s="23"/>
      <c r="T80" s="23"/>
      <c r="U80" s="23"/>
      <c r="V80" s="23"/>
      <c r="W80" s="23"/>
      <c r="X80" s="23"/>
      <c r="Y80" s="23" t="s">
        <v>122</v>
      </c>
      <c r="Z80" s="23"/>
      <c r="AA80" s="23"/>
      <c r="AB80" s="23" t="str">
        <f>TEXT(BK76,"#,##0.#######")</f>
        <v>0.</v>
      </c>
      <c r="AC80" s="23"/>
      <c r="AD80" s="23"/>
      <c r="AE80" s="23"/>
      <c r="AF80" s="23"/>
      <c r="AG80" s="23" t="s">
        <v>103</v>
      </c>
      <c r="AH80" s="23"/>
      <c r="AI80" s="23" t="e">
        <f>TEXT(TRUNC(P80/BK76,1),"#,##0.#")</f>
        <v>#DIV/0!</v>
      </c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7"/>
      <c r="CI80" s="27"/>
      <c r="CJ80" s="28" t="e">
        <f>AI80</f>
        <v>#DIV/0!</v>
      </c>
      <c r="CK80" s="28"/>
      <c r="CL80" s="39"/>
    </row>
    <row r="81" spans="2:90" ht="19.5" customHeight="1" x14ac:dyDescent="0.25">
      <c r="B81" s="26"/>
      <c r="C81" s="23"/>
      <c r="D81" s="23"/>
      <c r="E81" s="23"/>
      <c r="F81" s="23"/>
      <c r="G81" s="23" t="s">
        <v>124</v>
      </c>
      <c r="H81" s="23"/>
      <c r="I81" s="23"/>
      <c r="J81" s="23"/>
      <c r="K81" s="23" t="s">
        <v>125</v>
      </c>
      <c r="L81" s="23"/>
      <c r="M81" s="23"/>
      <c r="N81" s="23" t="s">
        <v>121</v>
      </c>
      <c r="O81" s="23"/>
      <c r="P81" s="23" t="str">
        <f>TEXT([1]기계경비총괄표!H6,"#,##0.#######")</f>
        <v>12,301.5</v>
      </c>
      <c r="Q81" s="23"/>
      <c r="R81" s="23"/>
      <c r="S81" s="23"/>
      <c r="T81" s="23"/>
      <c r="U81" s="23"/>
      <c r="V81" s="23"/>
      <c r="W81" s="23"/>
      <c r="X81" s="23"/>
      <c r="Y81" s="23" t="s">
        <v>122</v>
      </c>
      <c r="Z81" s="23"/>
      <c r="AA81" s="23"/>
      <c r="AB81" s="23" t="str">
        <f>TEXT(BK76,"#,##0.#######")</f>
        <v>0.</v>
      </c>
      <c r="AC81" s="23"/>
      <c r="AD81" s="23"/>
      <c r="AE81" s="23"/>
      <c r="AF81" s="23"/>
      <c r="AG81" s="23" t="s">
        <v>103</v>
      </c>
      <c r="AH81" s="23"/>
      <c r="AI81" s="23" t="e">
        <f>TEXT(TRUNC(P81/BK76,1),"#,##0.#")</f>
        <v>#DIV/0!</v>
      </c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7"/>
      <c r="CI81" s="27"/>
      <c r="CJ81" s="28"/>
      <c r="CK81" s="28" t="e">
        <f>AI81</f>
        <v>#DIV/0!</v>
      </c>
      <c r="CL81" s="39"/>
    </row>
    <row r="82" spans="2:90" ht="19.5" customHeight="1" x14ac:dyDescent="0.25">
      <c r="B82" s="26"/>
      <c r="C82" s="23"/>
      <c r="D82" s="23"/>
      <c r="E82" s="23"/>
      <c r="F82" s="23"/>
      <c r="G82" s="23" t="s">
        <v>126</v>
      </c>
      <c r="H82" s="23"/>
      <c r="I82" s="23"/>
      <c r="J82" s="23"/>
      <c r="K82" s="23" t="s">
        <v>127</v>
      </c>
      <c r="L82" s="23"/>
      <c r="M82" s="23"/>
      <c r="N82" s="23" t="s">
        <v>128</v>
      </c>
      <c r="O82" s="23"/>
      <c r="P82" s="23" t="e">
        <f>TEXT(AI79+AI80+AI81,"#,##0.#######")</f>
        <v>#DIV/0!</v>
      </c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7" t="e">
        <f>CI79+CJ80+CK81</f>
        <v>#DIV/0!</v>
      </c>
      <c r="CI82" s="27"/>
      <c r="CJ82" s="28"/>
      <c r="CK82" s="28"/>
      <c r="CL82" s="39"/>
    </row>
    <row r="83" spans="2:90" ht="19.5" customHeight="1" x14ac:dyDescent="0.25">
      <c r="B83" s="26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4"/>
      <c r="CI83" s="24"/>
      <c r="CJ83" s="25"/>
      <c r="CK83" s="25"/>
      <c r="CL83" s="56"/>
    </row>
    <row r="84" spans="2:90" ht="19.5" customHeight="1" x14ac:dyDescent="0.25">
      <c r="B84" s="46" t="s">
        <v>129</v>
      </c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  <c r="CB84" s="47"/>
      <c r="CC84" s="47"/>
      <c r="CD84" s="47"/>
      <c r="CE84" s="47"/>
      <c r="CF84" s="47"/>
      <c r="CG84" s="47"/>
      <c r="CH84" s="48">
        <f>TRUNC(CI84+CJ84+CK84,0)</f>
        <v>1327</v>
      </c>
      <c r="CI84" s="48">
        <f>TRUNC(CI93,0)</f>
        <v>668</v>
      </c>
      <c r="CJ84" s="49">
        <f>TRUNC(CJ94,0)</f>
        <v>282</v>
      </c>
      <c r="CK84" s="49">
        <f>TRUNC(CK95,0)</f>
        <v>377</v>
      </c>
      <c r="CL84" s="97">
        <v>823</v>
      </c>
    </row>
    <row r="85" spans="2:90" ht="19.5" customHeight="1" x14ac:dyDescent="0.25">
      <c r="B85" s="26"/>
      <c r="C85" s="23"/>
      <c r="D85" s="23" t="s">
        <v>130</v>
      </c>
      <c r="E85" s="23"/>
      <c r="F85" s="23"/>
      <c r="G85" s="23" t="s">
        <v>131</v>
      </c>
      <c r="H85" s="23"/>
      <c r="I85" s="23"/>
      <c r="J85" s="23"/>
      <c r="K85" s="23"/>
      <c r="L85" s="23"/>
      <c r="M85" s="23" t="s">
        <v>128</v>
      </c>
      <c r="N85" s="23"/>
      <c r="O85" s="23" t="s">
        <v>132</v>
      </c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 t="s">
        <v>133</v>
      </c>
      <c r="AB85" s="23"/>
      <c r="AC85" s="23"/>
      <c r="AD85" s="23"/>
      <c r="AE85" s="23"/>
      <c r="AF85" s="23"/>
      <c r="AG85" s="23"/>
      <c r="AH85" s="23" t="s">
        <v>134</v>
      </c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7"/>
      <c r="CI85" s="27"/>
      <c r="CJ85" s="28"/>
      <c r="CK85" s="28"/>
      <c r="CL85" s="39" t="s">
        <v>135</v>
      </c>
    </row>
    <row r="86" spans="2:90" ht="19.5" customHeight="1" x14ac:dyDescent="0.25">
      <c r="B86" s="26"/>
      <c r="C86" s="23"/>
      <c r="D86" s="23"/>
      <c r="E86" s="23"/>
      <c r="F86" s="23"/>
      <c r="G86" s="23" t="s">
        <v>136</v>
      </c>
      <c r="H86" s="23"/>
      <c r="I86" s="23" t="s">
        <v>137</v>
      </c>
      <c r="J86" s="23"/>
      <c r="K86" s="23" t="str">
        <f>TEXT(0.6,"#,##0.#######")</f>
        <v>0.6</v>
      </c>
      <c r="L86" s="23"/>
      <c r="M86" s="23"/>
      <c r="N86" s="23"/>
      <c r="O86" s="23"/>
      <c r="P86" s="23"/>
      <c r="Q86" s="23" t="s">
        <v>138</v>
      </c>
      <c r="R86" s="23"/>
      <c r="S86" s="23" t="s">
        <v>137</v>
      </c>
      <c r="T86" s="23"/>
      <c r="U86" s="23" t="str">
        <f>TEXT(1,"#,##0.#######")</f>
        <v>1.</v>
      </c>
      <c r="V86" s="23"/>
      <c r="W86" s="23" t="s">
        <v>139</v>
      </c>
      <c r="X86" s="23"/>
      <c r="Y86" s="23" t="str">
        <f>TEXT(1.25,"#,##0.#######")</f>
        <v>1.25</v>
      </c>
      <c r="Z86" s="23"/>
      <c r="AA86" s="23"/>
      <c r="AB86" s="29" t="s">
        <v>103</v>
      </c>
      <c r="AC86" s="29"/>
      <c r="AD86" s="23" t="str">
        <f>TEXT(U86/Y86,"#,##0.##")</f>
        <v>0.8</v>
      </c>
      <c r="AE86" s="29"/>
      <c r="AF86" s="29"/>
      <c r="AG86" s="29"/>
      <c r="AH86" s="29"/>
      <c r="AI86" s="23" t="s">
        <v>113</v>
      </c>
      <c r="AJ86" s="23"/>
      <c r="AK86" s="23" t="s">
        <v>103</v>
      </c>
      <c r="AL86" s="23"/>
      <c r="AM86" s="23" t="str">
        <f>TEXT(0.9,"#,##0.#######")</f>
        <v>0.9</v>
      </c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7"/>
      <c r="CI86" s="27"/>
      <c r="CJ86" s="28"/>
      <c r="CK86" s="28"/>
      <c r="CL86" s="39"/>
    </row>
    <row r="87" spans="2:90" ht="19.5" customHeight="1" x14ac:dyDescent="0.25">
      <c r="B87" s="26"/>
      <c r="C87" s="23"/>
      <c r="D87" s="23"/>
      <c r="E87" s="23"/>
      <c r="F87" s="23"/>
      <c r="G87" s="23" t="s">
        <v>107</v>
      </c>
      <c r="H87" s="23"/>
      <c r="I87" s="23" t="s">
        <v>103</v>
      </c>
      <c r="J87" s="23"/>
      <c r="K87" s="23" t="str">
        <f>TEXT(0.65,"#,##0.#######")</f>
        <v>0.65</v>
      </c>
      <c r="L87" s="23"/>
      <c r="M87" s="23"/>
      <c r="N87" s="23"/>
      <c r="O87" s="23"/>
      <c r="P87" s="23"/>
      <c r="Q87" s="23"/>
      <c r="R87" s="23"/>
      <c r="S87" s="23" t="s">
        <v>108</v>
      </c>
      <c r="T87" s="23"/>
      <c r="U87" s="23"/>
      <c r="V87" s="23" t="s">
        <v>103</v>
      </c>
      <c r="W87" s="23"/>
      <c r="X87" s="23" t="str">
        <f>TEXT(16,"#,##0.#######")</f>
        <v>16.</v>
      </c>
      <c r="Y87" s="23"/>
      <c r="Z87" s="23"/>
      <c r="AA87" s="23" t="s">
        <v>109</v>
      </c>
      <c r="AB87" s="23"/>
      <c r="AC87" s="23"/>
      <c r="AD87" s="23"/>
      <c r="AE87" s="23" t="s">
        <v>96</v>
      </c>
      <c r="AF87" s="23" t="str">
        <f>TEXT(45,"#,##0.#######")</f>
        <v>45.</v>
      </c>
      <c r="AG87" s="23"/>
      <c r="AH87" s="23" t="s">
        <v>110</v>
      </c>
      <c r="AI87" s="23"/>
      <c r="AJ87" s="23" t="s">
        <v>101</v>
      </c>
      <c r="AK87" s="23" t="s">
        <v>111</v>
      </c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7"/>
      <c r="CI87" s="27"/>
      <c r="CJ87" s="28"/>
      <c r="CK87" s="28"/>
      <c r="CL87" s="39"/>
    </row>
    <row r="88" spans="2:90" ht="19.5" customHeight="1" x14ac:dyDescent="0.25">
      <c r="B88" s="26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7"/>
      <c r="CI88" s="27"/>
      <c r="CJ88" s="28"/>
      <c r="CK88" s="28"/>
      <c r="CL88" s="39"/>
    </row>
    <row r="89" spans="2:90" ht="19.5" customHeight="1" x14ac:dyDescent="0.25">
      <c r="B89" s="26"/>
      <c r="C89" s="23"/>
      <c r="D89" s="23"/>
      <c r="E89" s="23"/>
      <c r="F89" s="23"/>
      <c r="G89" s="23"/>
      <c r="H89" s="23"/>
      <c r="I89" s="23"/>
      <c r="J89" s="23"/>
      <c r="K89" s="23"/>
      <c r="L89" s="23" t="str">
        <f>TEXT(3600,"#,##0.#######")</f>
        <v>3,600.</v>
      </c>
      <c r="M89" s="23"/>
      <c r="N89" s="23"/>
      <c r="O89" s="23"/>
      <c r="P89" s="23"/>
      <c r="Q89" s="23" t="s">
        <v>102</v>
      </c>
      <c r="R89" s="23"/>
      <c r="S89" s="23" t="s">
        <v>112</v>
      </c>
      <c r="T89" s="23" t="s">
        <v>102</v>
      </c>
      <c r="U89" s="23"/>
      <c r="V89" s="23" t="s">
        <v>113</v>
      </c>
      <c r="W89" s="23" t="s">
        <v>102</v>
      </c>
      <c r="X89" s="23"/>
      <c r="Y89" s="23" t="s">
        <v>114</v>
      </c>
      <c r="Z89" s="23" t="s">
        <v>102</v>
      </c>
      <c r="AA89" s="23"/>
      <c r="AB89" s="23" t="s">
        <v>107</v>
      </c>
      <c r="AC89" s="23"/>
      <c r="AD89" s="23"/>
      <c r="AE89" s="23"/>
      <c r="AF89" s="23"/>
      <c r="AG89" s="23"/>
      <c r="AH89" s="23"/>
      <c r="AI89" s="23" t="str">
        <f>TEXT(L89,"#,##0.#######")</f>
        <v>3,600.</v>
      </c>
      <c r="AJ89" s="23"/>
      <c r="AK89" s="23"/>
      <c r="AL89" s="23"/>
      <c r="AM89" s="23"/>
      <c r="AN89" s="23" t="s">
        <v>102</v>
      </c>
      <c r="AO89" s="23"/>
      <c r="AP89" s="23" t="str">
        <f>TEXT(K86,"#,##0.#######")</f>
        <v>0.6</v>
      </c>
      <c r="AQ89" s="23"/>
      <c r="AR89" s="23"/>
      <c r="AS89" s="23" t="s">
        <v>102</v>
      </c>
      <c r="AT89" s="23"/>
      <c r="AU89" s="23" t="str">
        <f>TEXT(AM86,"#,##0.#######")</f>
        <v>0.9</v>
      </c>
      <c r="AV89" s="23"/>
      <c r="AW89" s="23"/>
      <c r="AX89" s="23" t="s">
        <v>102</v>
      </c>
      <c r="AY89" s="23"/>
      <c r="AZ89" s="23" t="str">
        <f>TEXT(AD86,"#,##0.#######")</f>
        <v>0.8</v>
      </c>
      <c r="BA89" s="29"/>
      <c r="BB89" s="29"/>
      <c r="BC89" s="23" t="s">
        <v>102</v>
      </c>
      <c r="BD89" s="23"/>
      <c r="BE89" s="23" t="str">
        <f>TEXT(K87,"#,##0.#######")</f>
        <v>0.65</v>
      </c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7"/>
      <c r="CI89" s="27"/>
      <c r="CJ89" s="28"/>
      <c r="CK89" s="28"/>
      <c r="CL89" s="39"/>
    </row>
    <row r="90" spans="2:90" ht="19.5" customHeight="1" x14ac:dyDescent="0.25">
      <c r="B90" s="26"/>
      <c r="C90" s="23"/>
      <c r="D90" s="23"/>
      <c r="E90" s="23"/>
      <c r="F90" s="23"/>
      <c r="G90" s="23" t="s">
        <v>115</v>
      </c>
      <c r="H90" s="23"/>
      <c r="I90" s="23" t="s">
        <v>103</v>
      </c>
      <c r="J90" s="23"/>
      <c r="K90" s="23" t="s">
        <v>116</v>
      </c>
      <c r="L90" s="23"/>
      <c r="M90" s="23" t="s">
        <v>116</v>
      </c>
      <c r="N90" s="23"/>
      <c r="O90" s="23" t="s">
        <v>116</v>
      </c>
      <c r="P90" s="23"/>
      <c r="Q90" s="23" t="s">
        <v>116</v>
      </c>
      <c r="R90" s="23"/>
      <c r="S90" s="23" t="s">
        <v>116</v>
      </c>
      <c r="T90" s="23"/>
      <c r="U90" s="23" t="s">
        <v>116</v>
      </c>
      <c r="V90" s="23"/>
      <c r="W90" s="23" t="s">
        <v>116</v>
      </c>
      <c r="X90" s="23"/>
      <c r="Y90" s="23" t="s">
        <v>116</v>
      </c>
      <c r="Z90" s="23"/>
      <c r="AA90" s="23" t="s">
        <v>116</v>
      </c>
      <c r="AB90" s="23"/>
      <c r="AC90" s="23" t="s">
        <v>116</v>
      </c>
      <c r="AD90" s="23"/>
      <c r="AE90" s="23"/>
      <c r="AF90" s="23" t="s">
        <v>103</v>
      </c>
      <c r="AG90" s="23"/>
      <c r="AH90" s="23" t="s">
        <v>116</v>
      </c>
      <c r="AI90" s="23"/>
      <c r="AJ90" s="23" t="s">
        <v>116</v>
      </c>
      <c r="AK90" s="23"/>
      <c r="AL90" s="23" t="s">
        <v>116</v>
      </c>
      <c r="AM90" s="23"/>
      <c r="AN90" s="23" t="s">
        <v>116</v>
      </c>
      <c r="AO90" s="23"/>
      <c r="AP90" s="23" t="s">
        <v>116</v>
      </c>
      <c r="AQ90" s="23"/>
      <c r="AR90" s="23" t="s">
        <v>116</v>
      </c>
      <c r="AS90" s="23"/>
      <c r="AT90" s="23" t="s">
        <v>116</v>
      </c>
      <c r="AU90" s="23"/>
      <c r="AV90" s="23" t="s">
        <v>116</v>
      </c>
      <c r="AW90" s="23"/>
      <c r="AX90" s="23" t="s">
        <v>116</v>
      </c>
      <c r="AY90" s="23"/>
      <c r="AZ90" s="23" t="s">
        <v>116</v>
      </c>
      <c r="BA90" s="23"/>
      <c r="BB90" s="23" t="s">
        <v>116</v>
      </c>
      <c r="BC90" s="23"/>
      <c r="BD90" s="23" t="s">
        <v>116</v>
      </c>
      <c r="BE90" s="23"/>
      <c r="BF90" s="23" t="s">
        <v>116</v>
      </c>
      <c r="BG90" s="23"/>
      <c r="BH90" s="23"/>
      <c r="BI90" s="23" t="s">
        <v>103</v>
      </c>
      <c r="BJ90" s="23"/>
      <c r="BK90" s="23" t="str">
        <f>TEXT(ROUND((3600*K86*AM86*AD86*K87)/(X87),2),"#,##0.#######")</f>
        <v>63.18</v>
      </c>
      <c r="BL90" s="23"/>
      <c r="BM90" s="23"/>
      <c r="BN90" s="23"/>
      <c r="BO90" s="23"/>
      <c r="BP90" s="23"/>
      <c r="BQ90" s="23"/>
      <c r="BR90" s="23" t="s">
        <v>117</v>
      </c>
      <c r="BS90" s="23"/>
      <c r="BT90" s="23" t="s">
        <v>118</v>
      </c>
      <c r="BU90" s="23" t="s">
        <v>119</v>
      </c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7"/>
      <c r="CI90" s="27"/>
      <c r="CJ90" s="28"/>
      <c r="CK90" s="28"/>
      <c r="CL90" s="39"/>
    </row>
    <row r="91" spans="2:90" ht="19.5" customHeight="1" x14ac:dyDescent="0.25">
      <c r="B91" s="26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 t="s">
        <v>108</v>
      </c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 t="str">
        <f>TEXT(X87,"#,##0.#######")</f>
        <v>16.</v>
      </c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7"/>
      <c r="CI91" s="27"/>
      <c r="CJ91" s="28"/>
      <c r="CK91" s="28"/>
      <c r="CL91" s="39"/>
    </row>
    <row r="92" spans="2:90" ht="19.5" customHeight="1" x14ac:dyDescent="0.25">
      <c r="B92" s="26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7"/>
      <c r="CI92" s="27"/>
      <c r="CJ92" s="28"/>
      <c r="CK92" s="28"/>
      <c r="CL92" s="39"/>
    </row>
    <row r="93" spans="2:90" ht="19.5" customHeight="1" x14ac:dyDescent="0.25">
      <c r="B93" s="26"/>
      <c r="C93" s="23"/>
      <c r="D93" s="23"/>
      <c r="E93" s="23"/>
      <c r="F93" s="23"/>
      <c r="G93" s="23" t="s">
        <v>120</v>
      </c>
      <c r="H93" s="23"/>
      <c r="I93" s="23"/>
      <c r="J93" s="23"/>
      <c r="K93" s="23"/>
      <c r="L93" s="23"/>
      <c r="M93" s="23"/>
      <c r="N93" s="23" t="s">
        <v>121</v>
      </c>
      <c r="O93" s="23"/>
      <c r="P93" s="23" t="str">
        <f>TEXT([1]기계경비총괄표!G8,"#,##0.#######")</f>
        <v>42,267.</v>
      </c>
      <c r="Q93" s="23"/>
      <c r="R93" s="23"/>
      <c r="S93" s="23"/>
      <c r="T93" s="23"/>
      <c r="U93" s="23"/>
      <c r="V93" s="23"/>
      <c r="W93" s="23"/>
      <c r="X93" s="23"/>
      <c r="Y93" s="23" t="s">
        <v>122</v>
      </c>
      <c r="Z93" s="23"/>
      <c r="AA93" s="23"/>
      <c r="AB93" s="23" t="str">
        <f>TEXT(BK90,"#,##0.#######")</f>
        <v>63.18</v>
      </c>
      <c r="AC93" s="23"/>
      <c r="AD93" s="23"/>
      <c r="AE93" s="23"/>
      <c r="AF93" s="23"/>
      <c r="AG93" s="23" t="s">
        <v>103</v>
      </c>
      <c r="AH93" s="23"/>
      <c r="AI93" s="23" t="str">
        <f>TEXT(TRUNC(P93/BK90,1),"#,##0.#")</f>
        <v>668.9</v>
      </c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7"/>
      <c r="CI93" s="27" t="str">
        <f>AI93</f>
        <v>668.9</v>
      </c>
      <c r="CJ93" s="28"/>
      <c r="CK93" s="28"/>
      <c r="CL93" s="39"/>
    </row>
    <row r="94" spans="2:90" ht="19.5" customHeight="1" x14ac:dyDescent="0.25">
      <c r="B94" s="26"/>
      <c r="C94" s="23"/>
      <c r="D94" s="23"/>
      <c r="E94" s="23"/>
      <c r="F94" s="23"/>
      <c r="G94" s="23" t="s">
        <v>123</v>
      </c>
      <c r="H94" s="23"/>
      <c r="I94" s="23"/>
      <c r="J94" s="23"/>
      <c r="K94" s="23"/>
      <c r="L94" s="23"/>
      <c r="M94" s="23"/>
      <c r="N94" s="23" t="s">
        <v>121</v>
      </c>
      <c r="O94" s="23"/>
      <c r="P94" s="23" t="str">
        <f>TEXT([1]기계경비총괄표!F8,"#,##0.#######")</f>
        <v>17,879.3</v>
      </c>
      <c r="Q94" s="23"/>
      <c r="R94" s="23"/>
      <c r="S94" s="23"/>
      <c r="T94" s="23"/>
      <c r="U94" s="23"/>
      <c r="V94" s="23"/>
      <c r="W94" s="23"/>
      <c r="X94" s="23"/>
      <c r="Y94" s="23" t="s">
        <v>122</v>
      </c>
      <c r="Z94" s="23"/>
      <c r="AA94" s="23"/>
      <c r="AB94" s="23" t="str">
        <f>TEXT(BK90,"#,##0.#######")</f>
        <v>63.18</v>
      </c>
      <c r="AC94" s="23"/>
      <c r="AD94" s="23"/>
      <c r="AE94" s="23"/>
      <c r="AF94" s="23"/>
      <c r="AG94" s="23" t="s">
        <v>103</v>
      </c>
      <c r="AH94" s="23"/>
      <c r="AI94" s="23" t="str">
        <f>TEXT(TRUNC(P94/BK90,1),"#,##0.#")</f>
        <v>282.9</v>
      </c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7"/>
      <c r="CI94" s="27"/>
      <c r="CJ94" s="28" t="str">
        <f>AI94</f>
        <v>282.9</v>
      </c>
      <c r="CK94" s="28"/>
      <c r="CL94" s="39"/>
    </row>
    <row r="95" spans="2:90" ht="19.5" customHeight="1" x14ac:dyDescent="0.25">
      <c r="B95" s="26"/>
      <c r="C95" s="23"/>
      <c r="D95" s="23"/>
      <c r="E95" s="23"/>
      <c r="F95" s="23"/>
      <c r="G95" s="23" t="s">
        <v>124</v>
      </c>
      <c r="H95" s="23"/>
      <c r="I95" s="23"/>
      <c r="J95" s="23"/>
      <c r="K95" s="23" t="s">
        <v>125</v>
      </c>
      <c r="L95" s="23"/>
      <c r="M95" s="23"/>
      <c r="N95" s="23" t="s">
        <v>121</v>
      </c>
      <c r="O95" s="23"/>
      <c r="P95" s="23" t="str">
        <f>TEXT([1]기계경비총괄표!H8,"#,##0.#######")</f>
        <v>23,834.4</v>
      </c>
      <c r="Q95" s="23"/>
      <c r="R95" s="23"/>
      <c r="S95" s="23"/>
      <c r="T95" s="23"/>
      <c r="U95" s="23"/>
      <c r="V95" s="23"/>
      <c r="W95" s="23"/>
      <c r="X95" s="23"/>
      <c r="Y95" s="23" t="s">
        <v>122</v>
      </c>
      <c r="Z95" s="23"/>
      <c r="AA95" s="23"/>
      <c r="AB95" s="23" t="str">
        <f>TEXT(BK90,"#,##0.#######")</f>
        <v>63.18</v>
      </c>
      <c r="AC95" s="23"/>
      <c r="AD95" s="23"/>
      <c r="AE95" s="23"/>
      <c r="AF95" s="23"/>
      <c r="AG95" s="23" t="s">
        <v>103</v>
      </c>
      <c r="AH95" s="23"/>
      <c r="AI95" s="23" t="str">
        <f>TEXT(TRUNC(P95/BK90,1),"#,##0.#")</f>
        <v>377.2</v>
      </c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7"/>
      <c r="CI95" s="27"/>
      <c r="CJ95" s="28"/>
      <c r="CK95" s="28" t="str">
        <f>AI95</f>
        <v>377.2</v>
      </c>
      <c r="CL95" s="39"/>
    </row>
    <row r="96" spans="2:90" ht="19.5" customHeight="1" x14ac:dyDescent="0.25">
      <c r="B96" s="26"/>
      <c r="C96" s="23"/>
      <c r="D96" s="23"/>
      <c r="E96" s="23"/>
      <c r="F96" s="23"/>
      <c r="G96" s="23" t="s">
        <v>126</v>
      </c>
      <c r="H96" s="23"/>
      <c r="I96" s="23"/>
      <c r="J96" s="23"/>
      <c r="K96" s="23" t="s">
        <v>127</v>
      </c>
      <c r="L96" s="23"/>
      <c r="M96" s="23"/>
      <c r="N96" s="23" t="s">
        <v>121</v>
      </c>
      <c r="O96" s="23"/>
      <c r="P96" s="23" t="str">
        <f>TEXT(AI93+AI94+AI95,"#,##0.#######")</f>
        <v>1,329.</v>
      </c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7">
        <f>CI93+CJ94+CK95</f>
        <v>1329</v>
      </c>
      <c r="CI96" s="27"/>
      <c r="CJ96" s="28"/>
      <c r="CK96" s="28"/>
      <c r="CL96" s="39"/>
    </row>
    <row r="97" spans="2:90" ht="19.5" customHeight="1" x14ac:dyDescent="0.25">
      <c r="B97" s="26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7"/>
      <c r="CI97" s="27"/>
      <c r="CJ97" s="28"/>
      <c r="CK97" s="28"/>
      <c r="CL97" s="39"/>
    </row>
    <row r="98" spans="2:90" ht="19.5" customHeight="1" x14ac:dyDescent="0.25">
      <c r="B98" s="50" t="s">
        <v>140</v>
      </c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  <c r="CA98" s="51"/>
      <c r="CB98" s="51"/>
      <c r="CC98" s="51"/>
      <c r="CD98" s="51"/>
      <c r="CE98" s="51"/>
      <c r="CF98" s="51"/>
      <c r="CG98" s="51"/>
      <c r="CH98" s="48">
        <f>TRUNC(CI98+CJ98+CK98,0)</f>
        <v>15365</v>
      </c>
      <c r="CI98" s="48">
        <f>TRUNC(CI102,0)</f>
        <v>15365</v>
      </c>
      <c r="CJ98" s="49"/>
      <c r="CK98" s="49"/>
      <c r="CL98" s="97">
        <v>828</v>
      </c>
    </row>
    <row r="99" spans="2:90" ht="19.5" customHeight="1" x14ac:dyDescent="0.25">
      <c r="B99" s="26"/>
      <c r="C99" s="23"/>
      <c r="D99" s="23" t="s">
        <v>94</v>
      </c>
      <c r="E99" s="23"/>
      <c r="F99" s="23"/>
      <c r="G99" s="23" t="s">
        <v>141</v>
      </c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 t="str">
        <f>TEXT(10,"#,##0.#######")</f>
        <v>10.</v>
      </c>
      <c r="AD99" s="23"/>
      <c r="AE99" s="23" t="s">
        <v>142</v>
      </c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4"/>
      <c r="CI99" s="24"/>
      <c r="CJ99" s="25"/>
      <c r="CK99" s="25"/>
      <c r="CL99" s="56" t="s">
        <v>143</v>
      </c>
    </row>
    <row r="100" spans="2:90" ht="19.5" customHeight="1" x14ac:dyDescent="0.25">
      <c r="B100" s="26"/>
      <c r="C100" s="23"/>
      <c r="D100" s="23"/>
      <c r="E100" s="23"/>
      <c r="F100" s="23"/>
      <c r="G100" s="23" t="s">
        <v>144</v>
      </c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4"/>
      <c r="CI100" s="24"/>
      <c r="CJ100" s="25"/>
      <c r="CK100" s="25"/>
      <c r="CL100" s="56"/>
    </row>
    <row r="101" spans="2:90" ht="19.5" customHeight="1" x14ac:dyDescent="0.25">
      <c r="B101" s="26"/>
      <c r="C101" s="23"/>
      <c r="D101" s="23"/>
      <c r="E101" s="23"/>
      <c r="F101" s="23"/>
      <c r="G101" s="23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4"/>
      <c r="CI101" s="45"/>
      <c r="CJ101" s="25"/>
      <c r="CK101" s="25"/>
      <c r="CL101" s="56"/>
    </row>
    <row r="102" spans="2:90" ht="19.5" customHeight="1" x14ac:dyDescent="0.25">
      <c r="B102" s="26"/>
      <c r="C102" s="23"/>
      <c r="D102" s="23"/>
      <c r="E102" s="23"/>
      <c r="F102" s="23"/>
      <c r="G102" s="23" t="s">
        <v>145</v>
      </c>
      <c r="H102" s="23"/>
      <c r="I102" s="23"/>
      <c r="J102" s="23"/>
      <c r="K102" s="23"/>
      <c r="L102" s="23"/>
      <c r="M102" s="23"/>
      <c r="N102" s="23" t="s">
        <v>146</v>
      </c>
      <c r="O102" s="23"/>
      <c r="P102" s="23" t="str">
        <f>TEXT([1]노임및중기단가!I8,"#,##0.#######")</f>
        <v>138,290.</v>
      </c>
      <c r="Q102" s="23"/>
      <c r="R102" s="23"/>
      <c r="S102" s="23"/>
      <c r="T102" s="23"/>
      <c r="U102" s="23"/>
      <c r="V102" s="23"/>
      <c r="W102" s="23" t="s">
        <v>147</v>
      </c>
      <c r="X102" s="23"/>
      <c r="Y102" s="23"/>
      <c r="Z102" s="23" t="str">
        <f>TEXT(5,"#,##0.#######")</f>
        <v>5.</v>
      </c>
      <c r="AA102" s="23"/>
      <c r="AB102" s="23" t="s">
        <v>148</v>
      </c>
      <c r="AC102" s="29"/>
      <c r="AD102" s="29"/>
      <c r="AE102" s="23" t="s">
        <v>147</v>
      </c>
      <c r="AF102" s="23"/>
      <c r="AG102" s="29"/>
      <c r="AH102" s="23" t="s">
        <v>100</v>
      </c>
      <c r="AI102" s="23" t="str">
        <f>TEXT(AC99,"#,##0.#######")</f>
        <v>10.</v>
      </c>
      <c r="AJ102" s="23"/>
      <c r="AK102" s="23"/>
      <c r="AL102" s="29"/>
      <c r="AM102" s="23" t="s">
        <v>149</v>
      </c>
      <c r="AN102" s="23"/>
      <c r="AO102" s="29"/>
      <c r="AP102" s="23" t="str">
        <f>TEXT(450,"#,##0.#######")</f>
        <v>450.</v>
      </c>
      <c r="AQ102" s="23"/>
      <c r="AR102" s="23"/>
      <c r="AS102" s="23" t="s">
        <v>101</v>
      </c>
      <c r="AT102" s="23"/>
      <c r="AU102" s="23" t="s">
        <v>103</v>
      </c>
      <c r="AV102" s="23"/>
      <c r="AW102" s="23"/>
      <c r="AX102" s="23" t="str">
        <f>TEXT(TRUNC(P102*Z102*(AI102/AP102),1),"#,##0.#")</f>
        <v>15,365.5</v>
      </c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9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7"/>
      <c r="CI102" s="27" t="str">
        <f>AX102</f>
        <v>15,365.5</v>
      </c>
      <c r="CJ102" s="28"/>
      <c r="CK102" s="28"/>
      <c r="CL102" s="39"/>
    </row>
    <row r="103" spans="2:90" ht="19.5" customHeight="1" x14ac:dyDescent="0.25">
      <c r="B103" s="26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7"/>
      <c r="CI103" s="27"/>
      <c r="CJ103" s="28"/>
      <c r="CK103" s="28"/>
      <c r="CL103" s="39"/>
    </row>
    <row r="104" spans="2:90" ht="19.5" customHeight="1" x14ac:dyDescent="0.25">
      <c r="B104" s="26"/>
      <c r="C104" s="23"/>
      <c r="D104" s="23"/>
      <c r="E104" s="23"/>
      <c r="F104" s="23"/>
      <c r="G104" s="23" t="s">
        <v>120</v>
      </c>
      <c r="H104" s="23"/>
      <c r="I104" s="23"/>
      <c r="J104" s="23"/>
      <c r="K104" s="23"/>
      <c r="L104" s="23"/>
      <c r="M104" s="23"/>
      <c r="N104" s="23" t="s">
        <v>121</v>
      </c>
      <c r="O104" s="23"/>
      <c r="P104" s="23" t="str">
        <f>TEXT(AX102,"#,##0.#######")</f>
        <v>15,365.5</v>
      </c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7"/>
      <c r="CI104" s="27" t="str">
        <f>P104</f>
        <v>15,365.5</v>
      </c>
      <c r="CJ104" s="28"/>
      <c r="CK104" s="28"/>
      <c r="CL104" s="39"/>
    </row>
    <row r="105" spans="2:90" ht="19.5" customHeight="1" x14ac:dyDescent="0.25">
      <c r="B105" s="26"/>
      <c r="C105" s="23"/>
      <c r="D105" s="23"/>
      <c r="E105" s="23"/>
      <c r="F105" s="23"/>
      <c r="G105" s="23" t="s">
        <v>123</v>
      </c>
      <c r="H105" s="23"/>
      <c r="I105" s="23"/>
      <c r="J105" s="23"/>
      <c r="K105" s="23"/>
      <c r="L105" s="23"/>
      <c r="M105" s="23"/>
      <c r="N105" s="23" t="s">
        <v>121</v>
      </c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7"/>
      <c r="CI105" s="27"/>
      <c r="CJ105" s="28"/>
      <c r="CK105" s="28"/>
      <c r="CL105" s="39"/>
    </row>
    <row r="106" spans="2:90" ht="19.5" customHeight="1" x14ac:dyDescent="0.25">
      <c r="B106" s="26"/>
      <c r="C106" s="23"/>
      <c r="D106" s="23"/>
      <c r="E106" s="23"/>
      <c r="F106" s="23"/>
      <c r="G106" s="23" t="s">
        <v>124</v>
      </c>
      <c r="H106" s="23"/>
      <c r="I106" s="23"/>
      <c r="J106" s="23"/>
      <c r="K106" s="23" t="s">
        <v>125</v>
      </c>
      <c r="L106" s="23"/>
      <c r="M106" s="23"/>
      <c r="N106" s="23" t="s">
        <v>121</v>
      </c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7"/>
      <c r="CI106" s="27"/>
      <c r="CJ106" s="28"/>
      <c r="CK106" s="28"/>
      <c r="CL106" s="39"/>
    </row>
    <row r="107" spans="2:90" ht="19.5" customHeight="1" x14ac:dyDescent="0.25">
      <c r="B107" s="26"/>
      <c r="C107" s="23"/>
      <c r="D107" s="23"/>
      <c r="E107" s="23"/>
      <c r="F107" s="23"/>
      <c r="G107" s="23" t="s">
        <v>126</v>
      </c>
      <c r="H107" s="23"/>
      <c r="I107" s="23"/>
      <c r="J107" s="23"/>
      <c r="K107" s="23" t="s">
        <v>127</v>
      </c>
      <c r="L107" s="23"/>
      <c r="M107" s="23"/>
      <c r="N107" s="23" t="s">
        <v>121</v>
      </c>
      <c r="O107" s="23"/>
      <c r="P107" s="23" t="str">
        <f>TEXT(P104,"#,##0.#######")</f>
        <v>15,365.5</v>
      </c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7" t="str">
        <f>P107</f>
        <v>15,365.5</v>
      </c>
      <c r="CI107" s="27"/>
      <c r="CJ107" s="28"/>
      <c r="CK107" s="28"/>
      <c r="CL107" s="39"/>
    </row>
    <row r="108" spans="2:90" ht="19.5" customHeight="1" x14ac:dyDescent="0.25">
      <c r="B108" s="26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7"/>
      <c r="CI108" s="27"/>
      <c r="CJ108" s="28"/>
      <c r="CK108" s="28"/>
      <c r="CL108" s="39"/>
    </row>
    <row r="109" spans="2:90" ht="19.5" customHeight="1" x14ac:dyDescent="0.25">
      <c r="B109" s="46" t="s">
        <v>150</v>
      </c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47"/>
      <c r="BZ109" s="47"/>
      <c r="CA109" s="47"/>
      <c r="CB109" s="47"/>
      <c r="CC109" s="47"/>
      <c r="CD109" s="47"/>
      <c r="CE109" s="47"/>
      <c r="CF109" s="47"/>
      <c r="CG109" s="47"/>
      <c r="CH109" s="48">
        <f>TRUNC(CI109+CJ109+CK109,0)</f>
        <v>3011</v>
      </c>
      <c r="CI109" s="48">
        <f>TRUNC(CI118,0)</f>
        <v>1958</v>
      </c>
      <c r="CJ109" s="49">
        <f>TRUNC(CJ119,0)</f>
        <v>399</v>
      </c>
      <c r="CK109" s="49">
        <f>TRUNC(CK120,0)</f>
        <v>654</v>
      </c>
      <c r="CL109" s="97">
        <v>823</v>
      </c>
    </row>
    <row r="110" spans="2:90" ht="19.5" customHeight="1" x14ac:dyDescent="0.25">
      <c r="B110" s="26"/>
      <c r="C110" s="23"/>
      <c r="D110" s="23" t="s">
        <v>94</v>
      </c>
      <c r="E110" s="23"/>
      <c r="F110" s="23"/>
      <c r="G110" s="23" t="s">
        <v>151</v>
      </c>
      <c r="H110" s="23"/>
      <c r="I110" s="23"/>
      <c r="J110" s="23"/>
      <c r="K110" s="23"/>
      <c r="L110" s="23"/>
      <c r="M110" s="23" t="s">
        <v>121</v>
      </c>
      <c r="N110" s="23"/>
      <c r="O110" s="23" t="s">
        <v>152</v>
      </c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 t="s">
        <v>153</v>
      </c>
      <c r="AB110" s="23"/>
      <c r="AC110" s="23"/>
      <c r="AD110" s="23"/>
      <c r="AE110" s="23"/>
      <c r="AF110" s="23"/>
      <c r="AG110" s="23"/>
      <c r="AH110" s="23" t="s">
        <v>154</v>
      </c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7"/>
      <c r="CI110" s="27"/>
      <c r="CJ110" s="28"/>
      <c r="CK110" s="28"/>
      <c r="CL110" s="39" t="s">
        <v>155</v>
      </c>
    </row>
    <row r="111" spans="2:90" ht="19.5" customHeight="1" x14ac:dyDescent="0.25">
      <c r="B111" s="26"/>
      <c r="C111" s="23"/>
      <c r="D111" s="23"/>
      <c r="E111" s="23"/>
      <c r="F111" s="23"/>
      <c r="G111" s="23" t="s">
        <v>112</v>
      </c>
      <c r="H111" s="23"/>
      <c r="I111" s="23" t="s">
        <v>103</v>
      </c>
      <c r="J111" s="23"/>
      <c r="K111" s="23" t="str">
        <f>TEXT(0.18,"#,##0.#######")</f>
        <v>0.18</v>
      </c>
      <c r="L111" s="23"/>
      <c r="M111" s="23"/>
      <c r="N111" s="23"/>
      <c r="O111" s="23"/>
      <c r="P111" s="23"/>
      <c r="Q111" s="23" t="s">
        <v>114</v>
      </c>
      <c r="R111" s="23"/>
      <c r="S111" s="23" t="s">
        <v>103</v>
      </c>
      <c r="T111" s="23"/>
      <c r="U111" s="23" t="str">
        <f>TEXT(1,"#,##0.#######")</f>
        <v>1.</v>
      </c>
      <c r="V111" s="23"/>
      <c r="W111" s="23" t="s">
        <v>122</v>
      </c>
      <c r="X111" s="23"/>
      <c r="Y111" s="23" t="str">
        <f>TEXT(1.35,"#,##0.#######")</f>
        <v>1.35</v>
      </c>
      <c r="Z111" s="23"/>
      <c r="AA111" s="23"/>
      <c r="AB111" s="29" t="s">
        <v>103</v>
      </c>
      <c r="AC111" s="29"/>
      <c r="AD111" s="23" t="str">
        <f>TEXT(U111/Y111,"#,##0.##")</f>
        <v>0.74</v>
      </c>
      <c r="AE111" s="29"/>
      <c r="AF111" s="29"/>
      <c r="AG111" s="29"/>
      <c r="AH111" s="29"/>
      <c r="AI111" s="23" t="s">
        <v>113</v>
      </c>
      <c r="AJ111" s="23"/>
      <c r="AK111" s="23" t="s">
        <v>103</v>
      </c>
      <c r="AL111" s="23"/>
      <c r="AM111" s="23" t="str">
        <f>TEXT(0.9,"#,##0.#######")</f>
        <v>0.9</v>
      </c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7"/>
      <c r="CI111" s="27"/>
      <c r="CJ111" s="28"/>
      <c r="CK111" s="28"/>
      <c r="CL111" s="39"/>
    </row>
    <row r="112" spans="2:90" ht="19.5" customHeight="1" x14ac:dyDescent="0.25">
      <c r="B112" s="26"/>
      <c r="C112" s="23"/>
      <c r="D112" s="23"/>
      <c r="E112" s="23"/>
      <c r="F112" s="23"/>
      <c r="G112" s="23" t="s">
        <v>107</v>
      </c>
      <c r="H112" s="23"/>
      <c r="I112" s="23" t="s">
        <v>103</v>
      </c>
      <c r="J112" s="23"/>
      <c r="K112" s="23" t="str">
        <f>TEXT(0.65,"#,##0.#######")</f>
        <v>0.65</v>
      </c>
      <c r="L112" s="23"/>
      <c r="M112" s="23"/>
      <c r="N112" s="23"/>
      <c r="O112" s="23"/>
      <c r="P112" s="23"/>
      <c r="Q112" s="23"/>
      <c r="R112" s="23"/>
      <c r="S112" s="23" t="s">
        <v>108</v>
      </c>
      <c r="T112" s="23"/>
      <c r="U112" s="23"/>
      <c r="V112" s="23" t="s">
        <v>103</v>
      </c>
      <c r="W112" s="23"/>
      <c r="X112" s="23" t="str">
        <f>TEXT(13,"#,##0.#######")</f>
        <v>13.</v>
      </c>
      <c r="Y112" s="23"/>
      <c r="Z112" s="23"/>
      <c r="AA112" s="23" t="s">
        <v>109</v>
      </c>
      <c r="AB112" s="23"/>
      <c r="AC112" s="23"/>
      <c r="AD112" s="23"/>
      <c r="AE112" s="23" t="s">
        <v>96</v>
      </c>
      <c r="AF112" s="23" t="str">
        <f>TEXT(45,"#,##0.#######")</f>
        <v>45.</v>
      </c>
      <c r="AG112" s="23"/>
      <c r="AH112" s="23" t="s">
        <v>110</v>
      </c>
      <c r="AI112" s="23"/>
      <c r="AJ112" s="23" t="s">
        <v>101</v>
      </c>
      <c r="AK112" s="23" t="s">
        <v>111</v>
      </c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7"/>
      <c r="CI112" s="27"/>
      <c r="CJ112" s="28"/>
      <c r="CK112" s="28"/>
      <c r="CL112" s="39"/>
    </row>
    <row r="113" spans="2:90" ht="19.5" customHeight="1" x14ac:dyDescent="0.25">
      <c r="B113" s="26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7"/>
      <c r="CI113" s="27"/>
      <c r="CJ113" s="28"/>
      <c r="CK113" s="28"/>
      <c r="CL113" s="39"/>
    </row>
    <row r="114" spans="2:90" ht="19.5" customHeight="1" x14ac:dyDescent="0.25">
      <c r="B114" s="26"/>
      <c r="C114" s="23"/>
      <c r="D114" s="23"/>
      <c r="E114" s="23"/>
      <c r="F114" s="23"/>
      <c r="G114" s="23"/>
      <c r="H114" s="23"/>
      <c r="I114" s="23"/>
      <c r="J114" s="23"/>
      <c r="K114" s="23"/>
      <c r="L114" s="23" t="str">
        <f>TEXT(3600,"#,##0.#######")</f>
        <v>3,600.</v>
      </c>
      <c r="M114" s="23"/>
      <c r="N114" s="23"/>
      <c r="O114" s="23"/>
      <c r="P114" s="23"/>
      <c r="Q114" s="23" t="s">
        <v>102</v>
      </c>
      <c r="R114" s="23"/>
      <c r="S114" s="23" t="s">
        <v>112</v>
      </c>
      <c r="T114" s="23" t="s">
        <v>102</v>
      </c>
      <c r="U114" s="23"/>
      <c r="V114" s="23" t="s">
        <v>113</v>
      </c>
      <c r="W114" s="23" t="s">
        <v>102</v>
      </c>
      <c r="X114" s="23"/>
      <c r="Y114" s="23" t="s">
        <v>114</v>
      </c>
      <c r="Z114" s="23" t="s">
        <v>102</v>
      </c>
      <c r="AA114" s="23"/>
      <c r="AB114" s="23" t="s">
        <v>107</v>
      </c>
      <c r="AC114" s="23"/>
      <c r="AD114" s="23"/>
      <c r="AE114" s="23"/>
      <c r="AF114" s="23"/>
      <c r="AG114" s="23"/>
      <c r="AH114" s="23"/>
      <c r="AI114" s="23" t="str">
        <f>TEXT(L114,"#,##0.#######")</f>
        <v>3,600.</v>
      </c>
      <c r="AJ114" s="23"/>
      <c r="AK114" s="23"/>
      <c r="AL114" s="23"/>
      <c r="AM114" s="23"/>
      <c r="AN114" s="23" t="s">
        <v>102</v>
      </c>
      <c r="AO114" s="23"/>
      <c r="AP114" s="23" t="str">
        <f>TEXT(K111,"#,##0.#######")</f>
        <v>0.18</v>
      </c>
      <c r="AQ114" s="23"/>
      <c r="AR114" s="23"/>
      <c r="AS114" s="23" t="s">
        <v>102</v>
      </c>
      <c r="AT114" s="23"/>
      <c r="AU114" s="23" t="str">
        <f>TEXT(AM111,"#,##0.#######")</f>
        <v>0.9</v>
      </c>
      <c r="AV114" s="23"/>
      <c r="AW114" s="23"/>
      <c r="AX114" s="23" t="s">
        <v>102</v>
      </c>
      <c r="AY114" s="23"/>
      <c r="AZ114" s="23" t="str">
        <f>TEXT(AD111,"#,##0.#######")</f>
        <v>0.74</v>
      </c>
      <c r="BA114" s="29"/>
      <c r="BB114" s="29"/>
      <c r="BC114" s="23" t="s">
        <v>102</v>
      </c>
      <c r="BD114" s="23"/>
      <c r="BE114" s="23" t="str">
        <f>TEXT(K112,"#,##0.#######")</f>
        <v>0.65</v>
      </c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7"/>
      <c r="CI114" s="27"/>
      <c r="CJ114" s="28"/>
      <c r="CK114" s="28"/>
      <c r="CL114" s="39"/>
    </row>
    <row r="115" spans="2:90" ht="19.5" customHeight="1" x14ac:dyDescent="0.25">
      <c r="B115" s="26"/>
      <c r="C115" s="23"/>
      <c r="D115" s="23"/>
      <c r="E115" s="23"/>
      <c r="F115" s="23"/>
      <c r="G115" s="23" t="s">
        <v>115</v>
      </c>
      <c r="H115" s="23"/>
      <c r="I115" s="23" t="s">
        <v>103</v>
      </c>
      <c r="J115" s="23"/>
      <c r="K115" s="23" t="s">
        <v>116</v>
      </c>
      <c r="L115" s="23"/>
      <c r="M115" s="23" t="s">
        <v>116</v>
      </c>
      <c r="N115" s="23"/>
      <c r="O115" s="23" t="s">
        <v>116</v>
      </c>
      <c r="P115" s="23"/>
      <c r="Q115" s="23" t="s">
        <v>116</v>
      </c>
      <c r="R115" s="23"/>
      <c r="S115" s="23" t="s">
        <v>116</v>
      </c>
      <c r="T115" s="23"/>
      <c r="U115" s="23" t="s">
        <v>116</v>
      </c>
      <c r="V115" s="23"/>
      <c r="W115" s="23" t="s">
        <v>116</v>
      </c>
      <c r="X115" s="23"/>
      <c r="Y115" s="23" t="s">
        <v>116</v>
      </c>
      <c r="Z115" s="23"/>
      <c r="AA115" s="23" t="s">
        <v>116</v>
      </c>
      <c r="AB115" s="23"/>
      <c r="AC115" s="23" t="s">
        <v>116</v>
      </c>
      <c r="AD115" s="23"/>
      <c r="AE115" s="23"/>
      <c r="AF115" s="23" t="s">
        <v>103</v>
      </c>
      <c r="AG115" s="23"/>
      <c r="AH115" s="23" t="s">
        <v>116</v>
      </c>
      <c r="AI115" s="23"/>
      <c r="AJ115" s="23" t="s">
        <v>116</v>
      </c>
      <c r="AK115" s="23"/>
      <c r="AL115" s="23" t="s">
        <v>116</v>
      </c>
      <c r="AM115" s="23"/>
      <c r="AN115" s="23" t="s">
        <v>116</v>
      </c>
      <c r="AO115" s="23"/>
      <c r="AP115" s="23" t="s">
        <v>116</v>
      </c>
      <c r="AQ115" s="23"/>
      <c r="AR115" s="23" t="s">
        <v>116</v>
      </c>
      <c r="AS115" s="23"/>
      <c r="AT115" s="23" t="s">
        <v>116</v>
      </c>
      <c r="AU115" s="23"/>
      <c r="AV115" s="23" t="s">
        <v>116</v>
      </c>
      <c r="AW115" s="23"/>
      <c r="AX115" s="23" t="s">
        <v>116</v>
      </c>
      <c r="AY115" s="23"/>
      <c r="AZ115" s="23" t="s">
        <v>116</v>
      </c>
      <c r="BA115" s="23"/>
      <c r="BB115" s="23" t="s">
        <v>116</v>
      </c>
      <c r="BC115" s="23"/>
      <c r="BD115" s="23" t="s">
        <v>116</v>
      </c>
      <c r="BE115" s="23"/>
      <c r="BF115" s="23" t="s">
        <v>116</v>
      </c>
      <c r="BG115" s="23"/>
      <c r="BH115" s="23"/>
      <c r="BI115" s="23" t="s">
        <v>103</v>
      </c>
      <c r="BJ115" s="23"/>
      <c r="BK115" s="23" t="str">
        <f>TEXT(ROUND((3600*K111*AM111*AD111*K112)/(X112),2),"#,##0.#######")</f>
        <v>21.58</v>
      </c>
      <c r="BL115" s="23"/>
      <c r="BM115" s="23"/>
      <c r="BN115" s="23"/>
      <c r="BO115" s="23"/>
      <c r="BP115" s="23"/>
      <c r="BQ115" s="23"/>
      <c r="BR115" s="23" t="s">
        <v>117</v>
      </c>
      <c r="BS115" s="23"/>
      <c r="BT115" s="23" t="s">
        <v>118</v>
      </c>
      <c r="BU115" s="23" t="s">
        <v>119</v>
      </c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7"/>
      <c r="CI115" s="27"/>
      <c r="CJ115" s="28"/>
      <c r="CK115" s="28"/>
      <c r="CL115" s="39"/>
    </row>
    <row r="116" spans="2:90" ht="19.5" customHeight="1" x14ac:dyDescent="0.25">
      <c r="B116" s="26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 t="s">
        <v>108</v>
      </c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 t="str">
        <f>TEXT(X112,"#,##0.#######")</f>
        <v>13.</v>
      </c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7"/>
      <c r="CI116" s="27"/>
      <c r="CJ116" s="28"/>
      <c r="CK116" s="28"/>
      <c r="CL116" s="39"/>
    </row>
    <row r="117" spans="2:90" ht="19.5" customHeight="1" x14ac:dyDescent="0.25">
      <c r="B117" s="26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7"/>
      <c r="CI117" s="27"/>
      <c r="CJ117" s="28"/>
      <c r="CK117" s="28"/>
      <c r="CL117" s="39"/>
    </row>
    <row r="118" spans="2:90" ht="19.5" customHeight="1" x14ac:dyDescent="0.25">
      <c r="B118" s="26"/>
      <c r="C118" s="23"/>
      <c r="D118" s="23"/>
      <c r="E118" s="23"/>
      <c r="F118" s="23"/>
      <c r="G118" s="23" t="s">
        <v>120</v>
      </c>
      <c r="H118" s="23"/>
      <c r="I118" s="23"/>
      <c r="J118" s="23"/>
      <c r="K118" s="23"/>
      <c r="L118" s="23"/>
      <c r="M118" s="23"/>
      <c r="N118" s="23" t="s">
        <v>121</v>
      </c>
      <c r="O118" s="23"/>
      <c r="P118" s="23" t="str">
        <f>TEXT([1]기계경비총괄표!G4,"#,##0.#######")</f>
        <v>42,267.</v>
      </c>
      <c r="Q118" s="23"/>
      <c r="R118" s="23"/>
      <c r="S118" s="23"/>
      <c r="T118" s="23"/>
      <c r="U118" s="23"/>
      <c r="V118" s="23"/>
      <c r="W118" s="23"/>
      <c r="X118" s="23"/>
      <c r="Y118" s="23" t="s">
        <v>122</v>
      </c>
      <c r="Z118" s="23"/>
      <c r="AA118" s="23"/>
      <c r="AB118" s="23" t="str">
        <f>TEXT(BK115,"#,##0.#######")</f>
        <v>21.58</v>
      </c>
      <c r="AC118" s="23"/>
      <c r="AD118" s="23"/>
      <c r="AE118" s="23"/>
      <c r="AF118" s="23"/>
      <c r="AG118" s="23" t="s">
        <v>103</v>
      </c>
      <c r="AH118" s="23"/>
      <c r="AI118" s="23" t="str">
        <f>TEXT(TRUNC(P118/BK115,1),"#,##0.#")</f>
        <v>1,958.6</v>
      </c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7"/>
      <c r="CI118" s="27" t="str">
        <f>AI118</f>
        <v>1,958.6</v>
      </c>
      <c r="CJ118" s="28"/>
      <c r="CK118" s="28"/>
      <c r="CL118" s="39"/>
    </row>
    <row r="119" spans="2:90" ht="19.5" customHeight="1" x14ac:dyDescent="0.25">
      <c r="B119" s="26"/>
      <c r="C119" s="23"/>
      <c r="D119" s="23"/>
      <c r="E119" s="23"/>
      <c r="F119" s="23"/>
      <c r="G119" s="23" t="s">
        <v>123</v>
      </c>
      <c r="H119" s="23"/>
      <c r="I119" s="23"/>
      <c r="J119" s="23"/>
      <c r="K119" s="23"/>
      <c r="L119" s="23"/>
      <c r="M119" s="23"/>
      <c r="N119" s="23" t="s">
        <v>121</v>
      </c>
      <c r="O119" s="23"/>
      <c r="P119" s="23" t="str">
        <f>TEXT([1]기계경비총괄표!F4,"#,##0.#######")</f>
        <v>8,631.3</v>
      </c>
      <c r="Q119" s="23"/>
      <c r="R119" s="23"/>
      <c r="S119" s="23"/>
      <c r="T119" s="23"/>
      <c r="U119" s="23"/>
      <c r="V119" s="23"/>
      <c r="W119" s="23"/>
      <c r="X119" s="23"/>
      <c r="Y119" s="23" t="s">
        <v>122</v>
      </c>
      <c r="Z119" s="23"/>
      <c r="AA119" s="23"/>
      <c r="AB119" s="23" t="str">
        <f>TEXT(BK115,"#,##0.#######")</f>
        <v>21.58</v>
      </c>
      <c r="AC119" s="23"/>
      <c r="AD119" s="23"/>
      <c r="AE119" s="23"/>
      <c r="AF119" s="23"/>
      <c r="AG119" s="23" t="s">
        <v>103</v>
      </c>
      <c r="AH119" s="23"/>
      <c r="AI119" s="23" t="str">
        <f>TEXT(TRUNC(P119/BK115,1),"#,##0.#")</f>
        <v>399.9</v>
      </c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7"/>
      <c r="CI119" s="27"/>
      <c r="CJ119" s="28" t="str">
        <f>AI119</f>
        <v>399.9</v>
      </c>
      <c r="CK119" s="28"/>
      <c r="CL119" s="39"/>
    </row>
    <row r="120" spans="2:90" ht="19.5" customHeight="1" x14ac:dyDescent="0.25">
      <c r="B120" s="26"/>
      <c r="C120" s="23"/>
      <c r="D120" s="23"/>
      <c r="E120" s="23"/>
      <c r="F120" s="23"/>
      <c r="G120" s="23" t="s">
        <v>124</v>
      </c>
      <c r="H120" s="23"/>
      <c r="I120" s="23"/>
      <c r="J120" s="23"/>
      <c r="K120" s="23" t="s">
        <v>125</v>
      </c>
      <c r="L120" s="23"/>
      <c r="M120" s="23"/>
      <c r="N120" s="23" t="s">
        <v>121</v>
      </c>
      <c r="O120" s="23"/>
      <c r="P120" s="23" t="str">
        <f>TEXT([1]기계경비총괄표!H4,"#,##0.#######")</f>
        <v>14,129.8</v>
      </c>
      <c r="Q120" s="23"/>
      <c r="R120" s="23"/>
      <c r="S120" s="23"/>
      <c r="T120" s="23"/>
      <c r="U120" s="23"/>
      <c r="V120" s="23"/>
      <c r="W120" s="23"/>
      <c r="X120" s="23"/>
      <c r="Y120" s="23" t="s">
        <v>122</v>
      </c>
      <c r="Z120" s="23"/>
      <c r="AA120" s="23"/>
      <c r="AB120" s="23" t="str">
        <f>TEXT(BK115,"#,##0.#######")</f>
        <v>21.58</v>
      </c>
      <c r="AC120" s="23"/>
      <c r="AD120" s="23"/>
      <c r="AE120" s="23"/>
      <c r="AF120" s="23"/>
      <c r="AG120" s="23" t="s">
        <v>103</v>
      </c>
      <c r="AH120" s="23"/>
      <c r="AI120" s="23" t="str">
        <f>TEXT(TRUNC(P120/BK115,1),"#,##0.#")</f>
        <v>654.7</v>
      </c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7"/>
      <c r="CI120" s="27"/>
      <c r="CJ120" s="28"/>
      <c r="CK120" s="28" t="str">
        <f>AI120</f>
        <v>654.7</v>
      </c>
      <c r="CL120" s="39"/>
    </row>
    <row r="121" spans="2:90" ht="19.5" customHeight="1" x14ac:dyDescent="0.25">
      <c r="B121" s="26"/>
      <c r="C121" s="23"/>
      <c r="D121" s="23"/>
      <c r="E121" s="23"/>
      <c r="F121" s="23"/>
      <c r="G121" s="23" t="s">
        <v>126</v>
      </c>
      <c r="H121" s="23"/>
      <c r="I121" s="23"/>
      <c r="J121" s="23"/>
      <c r="K121" s="23" t="s">
        <v>127</v>
      </c>
      <c r="L121" s="23"/>
      <c r="M121" s="23"/>
      <c r="N121" s="23" t="s">
        <v>121</v>
      </c>
      <c r="O121" s="23"/>
      <c r="P121" s="23" t="str">
        <f>TEXT(AI118+AI119+AI120,"#,##0.#######")</f>
        <v>3,013.2</v>
      </c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7">
        <f>CI118+CJ119+CK120</f>
        <v>3013.2</v>
      </c>
      <c r="CI121" s="27"/>
      <c r="CJ121" s="28"/>
      <c r="CK121" s="28"/>
      <c r="CL121" s="39"/>
    </row>
    <row r="122" spans="2:90" ht="19.5" customHeight="1" x14ac:dyDescent="0.25">
      <c r="B122" s="26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7"/>
      <c r="CI122" s="27"/>
      <c r="CJ122" s="28"/>
      <c r="CK122" s="28"/>
      <c r="CL122" s="39"/>
    </row>
    <row r="123" spans="2:90" ht="19.5" customHeight="1" x14ac:dyDescent="0.25">
      <c r="B123" s="46" t="s">
        <v>156</v>
      </c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  <c r="BV123" s="47"/>
      <c r="BW123" s="47"/>
      <c r="BX123" s="47"/>
      <c r="BY123" s="47"/>
      <c r="BZ123" s="47"/>
      <c r="CA123" s="47"/>
      <c r="CB123" s="47"/>
      <c r="CC123" s="47"/>
      <c r="CD123" s="47"/>
      <c r="CE123" s="47"/>
      <c r="CF123" s="47"/>
      <c r="CG123" s="47"/>
      <c r="CH123" s="48">
        <f>TRUNC(CI123+CJ123+CK123,0)</f>
        <v>2587</v>
      </c>
      <c r="CI123" s="48">
        <f>TRUNC(CI132,0)</f>
        <v>1762</v>
      </c>
      <c r="CJ123" s="49">
        <f>TRUNC(CJ133,0)</f>
        <v>313</v>
      </c>
      <c r="CK123" s="49">
        <f>TRUNC(CK134,0)</f>
        <v>512</v>
      </c>
      <c r="CL123" s="97">
        <v>823</v>
      </c>
    </row>
    <row r="124" spans="2:90" ht="19.5" customHeight="1" x14ac:dyDescent="0.25">
      <c r="B124" s="26"/>
      <c r="C124" s="23"/>
      <c r="D124" s="23" t="s">
        <v>94</v>
      </c>
      <c r="E124" s="23"/>
      <c r="F124" s="23"/>
      <c r="G124" s="23" t="s">
        <v>151</v>
      </c>
      <c r="H124" s="23"/>
      <c r="I124" s="23"/>
      <c r="J124" s="23"/>
      <c r="K124" s="23"/>
      <c r="L124" s="23"/>
      <c r="M124" s="23" t="s">
        <v>121</v>
      </c>
      <c r="N124" s="23"/>
      <c r="O124" s="23" t="s">
        <v>152</v>
      </c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 t="s">
        <v>153</v>
      </c>
      <c r="AB124" s="23"/>
      <c r="AC124" s="23"/>
      <c r="AD124" s="23"/>
      <c r="AE124" s="23"/>
      <c r="AF124" s="23"/>
      <c r="AG124" s="23"/>
      <c r="AH124" s="23" t="s">
        <v>157</v>
      </c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7"/>
      <c r="CI124" s="27"/>
      <c r="CJ124" s="28"/>
      <c r="CK124" s="28"/>
      <c r="CL124" s="39" t="s">
        <v>155</v>
      </c>
    </row>
    <row r="125" spans="2:90" ht="19.5" customHeight="1" x14ac:dyDescent="0.25">
      <c r="B125" s="26"/>
      <c r="C125" s="23"/>
      <c r="D125" s="23"/>
      <c r="E125" s="23"/>
      <c r="F125" s="23"/>
      <c r="G125" s="23" t="s">
        <v>112</v>
      </c>
      <c r="H125" s="23"/>
      <c r="I125" s="23" t="s">
        <v>103</v>
      </c>
      <c r="J125" s="23"/>
      <c r="K125" s="23" t="str">
        <f>TEXT(0.2,"#,##0.#######")</f>
        <v>0.2</v>
      </c>
      <c r="L125" s="23"/>
      <c r="M125" s="23"/>
      <c r="N125" s="23"/>
      <c r="O125" s="23"/>
      <c r="P125" s="23"/>
      <c r="Q125" s="23" t="s">
        <v>114</v>
      </c>
      <c r="R125" s="23"/>
      <c r="S125" s="23" t="s">
        <v>103</v>
      </c>
      <c r="T125" s="23"/>
      <c r="U125" s="23" t="str">
        <f>TEXT(1,"#,##0.#######")</f>
        <v>1.</v>
      </c>
      <c r="V125" s="23"/>
      <c r="W125" s="23" t="s">
        <v>122</v>
      </c>
      <c r="X125" s="23"/>
      <c r="Y125" s="23" t="str">
        <f>TEXT(1.35,"#,##0.#######")</f>
        <v>1.35</v>
      </c>
      <c r="Z125" s="23"/>
      <c r="AA125" s="23"/>
      <c r="AB125" s="29" t="s">
        <v>103</v>
      </c>
      <c r="AC125" s="29"/>
      <c r="AD125" s="23" t="str">
        <f>TEXT(U125/Y125,"#,##0.##")</f>
        <v>0.74</v>
      </c>
      <c r="AE125" s="29"/>
      <c r="AF125" s="29"/>
      <c r="AG125" s="29"/>
      <c r="AH125" s="29"/>
      <c r="AI125" s="23" t="s">
        <v>113</v>
      </c>
      <c r="AJ125" s="23"/>
      <c r="AK125" s="23" t="s">
        <v>103</v>
      </c>
      <c r="AL125" s="23"/>
      <c r="AM125" s="23" t="str">
        <f>TEXT(0.9,"#,##0.#######")</f>
        <v>0.9</v>
      </c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7"/>
      <c r="CI125" s="27"/>
      <c r="CJ125" s="28"/>
      <c r="CK125" s="28"/>
      <c r="CL125" s="39"/>
    </row>
    <row r="126" spans="2:90" ht="19.5" customHeight="1" x14ac:dyDescent="0.25">
      <c r="B126" s="26"/>
      <c r="C126" s="23"/>
      <c r="D126" s="23"/>
      <c r="E126" s="23"/>
      <c r="F126" s="23"/>
      <c r="G126" s="23" t="s">
        <v>107</v>
      </c>
      <c r="H126" s="23"/>
      <c r="I126" s="23" t="s">
        <v>103</v>
      </c>
      <c r="J126" s="23"/>
      <c r="K126" s="23" t="str">
        <f>TEXT(0.65,"#,##0.#######")</f>
        <v>0.65</v>
      </c>
      <c r="L126" s="23"/>
      <c r="M126" s="23"/>
      <c r="N126" s="23"/>
      <c r="O126" s="23"/>
      <c r="P126" s="23"/>
      <c r="Q126" s="23"/>
      <c r="R126" s="23"/>
      <c r="S126" s="23" t="s">
        <v>108</v>
      </c>
      <c r="T126" s="23"/>
      <c r="U126" s="23"/>
      <c r="V126" s="23" t="s">
        <v>103</v>
      </c>
      <c r="W126" s="23"/>
      <c r="X126" s="23" t="str">
        <f>TEXT(13,"#,##0.#######")</f>
        <v>13.</v>
      </c>
      <c r="Y126" s="23"/>
      <c r="Z126" s="23"/>
      <c r="AA126" s="23" t="s">
        <v>109</v>
      </c>
      <c r="AB126" s="23"/>
      <c r="AC126" s="23"/>
      <c r="AD126" s="23"/>
      <c r="AE126" s="23" t="s">
        <v>96</v>
      </c>
      <c r="AF126" s="23" t="str">
        <f>TEXT(45,"#,##0.#######")</f>
        <v>45.</v>
      </c>
      <c r="AG126" s="23"/>
      <c r="AH126" s="23" t="s">
        <v>110</v>
      </c>
      <c r="AI126" s="23"/>
      <c r="AJ126" s="23" t="s">
        <v>101</v>
      </c>
      <c r="AK126" s="23" t="s">
        <v>111</v>
      </c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7"/>
      <c r="CI126" s="27"/>
      <c r="CJ126" s="28"/>
      <c r="CK126" s="28"/>
      <c r="CL126" s="39"/>
    </row>
    <row r="127" spans="2:90" ht="19.5" customHeight="1" x14ac:dyDescent="0.25">
      <c r="B127" s="26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7"/>
      <c r="CI127" s="27"/>
      <c r="CJ127" s="28"/>
      <c r="CK127" s="28"/>
      <c r="CL127" s="39"/>
    </row>
    <row r="128" spans="2:90" ht="19.5" customHeight="1" x14ac:dyDescent="0.25">
      <c r="B128" s="26"/>
      <c r="C128" s="23"/>
      <c r="D128" s="23"/>
      <c r="E128" s="23"/>
      <c r="F128" s="23"/>
      <c r="G128" s="23"/>
      <c r="H128" s="23"/>
      <c r="I128" s="23"/>
      <c r="J128" s="23"/>
      <c r="K128" s="23"/>
      <c r="L128" s="23" t="str">
        <f>TEXT(3600,"#,##0.#######")</f>
        <v>3,600.</v>
      </c>
      <c r="M128" s="23"/>
      <c r="N128" s="23"/>
      <c r="O128" s="23"/>
      <c r="P128" s="23"/>
      <c r="Q128" s="23" t="s">
        <v>102</v>
      </c>
      <c r="R128" s="23"/>
      <c r="S128" s="23" t="s">
        <v>112</v>
      </c>
      <c r="T128" s="23" t="s">
        <v>102</v>
      </c>
      <c r="U128" s="23"/>
      <c r="V128" s="23" t="s">
        <v>113</v>
      </c>
      <c r="W128" s="23" t="s">
        <v>102</v>
      </c>
      <c r="X128" s="23"/>
      <c r="Y128" s="23" t="s">
        <v>114</v>
      </c>
      <c r="Z128" s="23" t="s">
        <v>102</v>
      </c>
      <c r="AA128" s="23"/>
      <c r="AB128" s="23" t="s">
        <v>107</v>
      </c>
      <c r="AC128" s="23"/>
      <c r="AD128" s="23"/>
      <c r="AE128" s="23"/>
      <c r="AF128" s="23"/>
      <c r="AG128" s="23"/>
      <c r="AH128" s="23"/>
      <c r="AI128" s="23" t="str">
        <f>TEXT(L128,"#,##0.#######")</f>
        <v>3,600.</v>
      </c>
      <c r="AJ128" s="23"/>
      <c r="AK128" s="23"/>
      <c r="AL128" s="23"/>
      <c r="AM128" s="23"/>
      <c r="AN128" s="23" t="s">
        <v>102</v>
      </c>
      <c r="AO128" s="23"/>
      <c r="AP128" s="23" t="str">
        <f>TEXT(K125,"#,##0.#######")</f>
        <v>0.2</v>
      </c>
      <c r="AQ128" s="23"/>
      <c r="AR128" s="23"/>
      <c r="AS128" s="23" t="s">
        <v>102</v>
      </c>
      <c r="AT128" s="23"/>
      <c r="AU128" s="23" t="str">
        <f>TEXT(AM125,"#,##0.#######")</f>
        <v>0.9</v>
      </c>
      <c r="AV128" s="23"/>
      <c r="AW128" s="23"/>
      <c r="AX128" s="23" t="s">
        <v>102</v>
      </c>
      <c r="AY128" s="23"/>
      <c r="AZ128" s="23" t="str">
        <f>TEXT(AD125,"#,##0.#######")</f>
        <v>0.74</v>
      </c>
      <c r="BA128" s="29"/>
      <c r="BB128" s="29"/>
      <c r="BC128" s="23" t="s">
        <v>102</v>
      </c>
      <c r="BD128" s="23"/>
      <c r="BE128" s="23" t="str">
        <f>TEXT(K126,"#,##0.#######")</f>
        <v>0.65</v>
      </c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7"/>
      <c r="CI128" s="27"/>
      <c r="CJ128" s="28"/>
      <c r="CK128" s="28"/>
      <c r="CL128" s="39"/>
    </row>
    <row r="129" spans="2:90" ht="19.5" customHeight="1" x14ac:dyDescent="0.25">
      <c r="B129" s="26"/>
      <c r="C129" s="23"/>
      <c r="D129" s="23"/>
      <c r="E129" s="23"/>
      <c r="F129" s="23"/>
      <c r="G129" s="23" t="s">
        <v>115</v>
      </c>
      <c r="H129" s="23"/>
      <c r="I129" s="23" t="s">
        <v>103</v>
      </c>
      <c r="J129" s="23"/>
      <c r="K129" s="23" t="s">
        <v>116</v>
      </c>
      <c r="L129" s="23"/>
      <c r="M129" s="23" t="s">
        <v>116</v>
      </c>
      <c r="N129" s="23"/>
      <c r="O129" s="23" t="s">
        <v>116</v>
      </c>
      <c r="P129" s="23"/>
      <c r="Q129" s="23" t="s">
        <v>116</v>
      </c>
      <c r="R129" s="23"/>
      <c r="S129" s="23" t="s">
        <v>116</v>
      </c>
      <c r="T129" s="23"/>
      <c r="U129" s="23" t="s">
        <v>116</v>
      </c>
      <c r="V129" s="23"/>
      <c r="W129" s="23" t="s">
        <v>116</v>
      </c>
      <c r="X129" s="23"/>
      <c r="Y129" s="23" t="s">
        <v>116</v>
      </c>
      <c r="Z129" s="23"/>
      <c r="AA129" s="23" t="s">
        <v>116</v>
      </c>
      <c r="AB129" s="23"/>
      <c r="AC129" s="23" t="s">
        <v>116</v>
      </c>
      <c r="AD129" s="23"/>
      <c r="AE129" s="23"/>
      <c r="AF129" s="23" t="s">
        <v>103</v>
      </c>
      <c r="AG129" s="23"/>
      <c r="AH129" s="23" t="s">
        <v>116</v>
      </c>
      <c r="AI129" s="23"/>
      <c r="AJ129" s="23" t="s">
        <v>116</v>
      </c>
      <c r="AK129" s="23"/>
      <c r="AL129" s="23" t="s">
        <v>116</v>
      </c>
      <c r="AM129" s="23"/>
      <c r="AN129" s="23" t="s">
        <v>116</v>
      </c>
      <c r="AO129" s="23"/>
      <c r="AP129" s="23" t="s">
        <v>116</v>
      </c>
      <c r="AQ129" s="23"/>
      <c r="AR129" s="23" t="s">
        <v>116</v>
      </c>
      <c r="AS129" s="23"/>
      <c r="AT129" s="23" t="s">
        <v>116</v>
      </c>
      <c r="AU129" s="23"/>
      <c r="AV129" s="23" t="s">
        <v>116</v>
      </c>
      <c r="AW129" s="23"/>
      <c r="AX129" s="23" t="s">
        <v>116</v>
      </c>
      <c r="AY129" s="23"/>
      <c r="AZ129" s="23" t="s">
        <v>116</v>
      </c>
      <c r="BA129" s="23"/>
      <c r="BB129" s="23" t="s">
        <v>116</v>
      </c>
      <c r="BC129" s="23"/>
      <c r="BD129" s="23" t="s">
        <v>116</v>
      </c>
      <c r="BE129" s="23"/>
      <c r="BF129" s="23" t="s">
        <v>116</v>
      </c>
      <c r="BG129" s="23"/>
      <c r="BH129" s="23"/>
      <c r="BI129" s="23" t="s">
        <v>103</v>
      </c>
      <c r="BJ129" s="23"/>
      <c r="BK129" s="23" t="str">
        <f>TEXT(ROUND((3600*K125*AM125*AD125*K126)/(X126),2),"#,##0.#######")</f>
        <v>23.98</v>
      </c>
      <c r="BL129" s="23"/>
      <c r="BM129" s="23"/>
      <c r="BN129" s="23"/>
      <c r="BO129" s="23"/>
      <c r="BP129" s="23"/>
      <c r="BQ129" s="23"/>
      <c r="BR129" s="23" t="s">
        <v>117</v>
      </c>
      <c r="BS129" s="23"/>
      <c r="BT129" s="23" t="s">
        <v>118</v>
      </c>
      <c r="BU129" s="23" t="s">
        <v>119</v>
      </c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7"/>
      <c r="CI129" s="27"/>
      <c r="CJ129" s="28"/>
      <c r="CK129" s="28"/>
      <c r="CL129" s="39"/>
    </row>
    <row r="130" spans="2:90" ht="19.5" customHeight="1" x14ac:dyDescent="0.25">
      <c r="B130" s="26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 t="s">
        <v>108</v>
      </c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 t="str">
        <f>TEXT(X126,"#,##0.#######")</f>
        <v>13.</v>
      </c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7"/>
      <c r="CI130" s="27"/>
      <c r="CJ130" s="28"/>
      <c r="CK130" s="28"/>
      <c r="CL130" s="39"/>
    </row>
    <row r="131" spans="2:90" ht="19.5" customHeight="1" x14ac:dyDescent="0.25">
      <c r="B131" s="26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7"/>
      <c r="CI131" s="27"/>
      <c r="CJ131" s="28"/>
      <c r="CK131" s="28"/>
      <c r="CL131" s="39"/>
    </row>
    <row r="132" spans="2:90" ht="19.5" customHeight="1" x14ac:dyDescent="0.25">
      <c r="B132" s="26"/>
      <c r="C132" s="23"/>
      <c r="D132" s="23"/>
      <c r="E132" s="23"/>
      <c r="F132" s="23"/>
      <c r="G132" s="23" t="s">
        <v>120</v>
      </c>
      <c r="H132" s="23"/>
      <c r="I132" s="23"/>
      <c r="J132" s="23"/>
      <c r="K132" s="23"/>
      <c r="L132" s="23"/>
      <c r="M132" s="23"/>
      <c r="N132" s="23" t="s">
        <v>121</v>
      </c>
      <c r="O132" s="23"/>
      <c r="P132" s="23" t="str">
        <f>TEXT([1]기계경비총괄표!G6,"#,##0.#######")</f>
        <v>42,267.</v>
      </c>
      <c r="Q132" s="23"/>
      <c r="R132" s="23"/>
      <c r="S132" s="23"/>
      <c r="T132" s="23"/>
      <c r="U132" s="23"/>
      <c r="V132" s="23"/>
      <c r="W132" s="23"/>
      <c r="X132" s="23"/>
      <c r="Y132" s="23" t="s">
        <v>122</v>
      </c>
      <c r="Z132" s="23"/>
      <c r="AA132" s="23"/>
      <c r="AB132" s="23" t="str">
        <f>TEXT(BK129,"#,##0.#######")</f>
        <v>23.98</v>
      </c>
      <c r="AC132" s="23"/>
      <c r="AD132" s="23"/>
      <c r="AE132" s="23"/>
      <c r="AF132" s="23"/>
      <c r="AG132" s="23" t="s">
        <v>103</v>
      </c>
      <c r="AH132" s="23"/>
      <c r="AI132" s="23" t="str">
        <f>TEXT(TRUNC(P132/BK129,1),"#,##0.#")</f>
        <v>1,762.5</v>
      </c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7"/>
      <c r="CI132" s="27" t="str">
        <f>AI132</f>
        <v>1,762.5</v>
      </c>
      <c r="CJ132" s="28"/>
      <c r="CK132" s="28"/>
      <c r="CL132" s="39"/>
    </row>
    <row r="133" spans="2:90" ht="19.5" customHeight="1" x14ac:dyDescent="0.25">
      <c r="B133" s="26"/>
      <c r="C133" s="23"/>
      <c r="D133" s="23"/>
      <c r="E133" s="23"/>
      <c r="F133" s="23"/>
      <c r="G133" s="23" t="s">
        <v>123</v>
      </c>
      <c r="H133" s="23"/>
      <c r="I133" s="23"/>
      <c r="J133" s="23"/>
      <c r="K133" s="23"/>
      <c r="L133" s="23"/>
      <c r="M133" s="23"/>
      <c r="N133" s="23" t="s">
        <v>121</v>
      </c>
      <c r="O133" s="23"/>
      <c r="P133" s="23" t="str">
        <f>TEXT([1]기계경비총괄표!F6,"#,##0.#######")</f>
        <v>7,520.1</v>
      </c>
      <c r="Q133" s="23"/>
      <c r="R133" s="23"/>
      <c r="S133" s="23"/>
      <c r="T133" s="23"/>
      <c r="U133" s="23"/>
      <c r="V133" s="23"/>
      <c r="W133" s="23"/>
      <c r="X133" s="23"/>
      <c r="Y133" s="23" t="s">
        <v>122</v>
      </c>
      <c r="Z133" s="23"/>
      <c r="AA133" s="23"/>
      <c r="AB133" s="23" t="str">
        <f>TEXT(BK129,"#,##0.#######")</f>
        <v>23.98</v>
      </c>
      <c r="AC133" s="23"/>
      <c r="AD133" s="23"/>
      <c r="AE133" s="23"/>
      <c r="AF133" s="23"/>
      <c r="AG133" s="23" t="s">
        <v>103</v>
      </c>
      <c r="AH133" s="23"/>
      <c r="AI133" s="23" t="str">
        <f>TEXT(TRUNC(P133/BK129,1),"#,##0.#")</f>
        <v>313.5</v>
      </c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7"/>
      <c r="CI133" s="27"/>
      <c r="CJ133" s="28" t="str">
        <f>AI133</f>
        <v>313.5</v>
      </c>
      <c r="CK133" s="28"/>
      <c r="CL133" s="39"/>
    </row>
    <row r="134" spans="2:90" ht="19.5" customHeight="1" x14ac:dyDescent="0.25">
      <c r="B134" s="26"/>
      <c r="C134" s="23"/>
      <c r="D134" s="23"/>
      <c r="E134" s="23"/>
      <c r="F134" s="23"/>
      <c r="G134" s="23" t="s">
        <v>124</v>
      </c>
      <c r="H134" s="23"/>
      <c r="I134" s="23"/>
      <c r="J134" s="23"/>
      <c r="K134" s="23" t="s">
        <v>125</v>
      </c>
      <c r="L134" s="23"/>
      <c r="M134" s="23"/>
      <c r="N134" s="23" t="s">
        <v>121</v>
      </c>
      <c r="O134" s="23"/>
      <c r="P134" s="23" t="str">
        <f>TEXT([1]기계경비총괄표!H6,"#,##0.#######")</f>
        <v>12,301.5</v>
      </c>
      <c r="Q134" s="23"/>
      <c r="R134" s="23"/>
      <c r="S134" s="23"/>
      <c r="T134" s="23"/>
      <c r="U134" s="23"/>
      <c r="V134" s="23"/>
      <c r="W134" s="23"/>
      <c r="X134" s="23"/>
      <c r="Y134" s="23" t="s">
        <v>122</v>
      </c>
      <c r="Z134" s="23"/>
      <c r="AA134" s="23"/>
      <c r="AB134" s="23" t="str">
        <f>TEXT(BK129,"#,##0.#######")</f>
        <v>23.98</v>
      </c>
      <c r="AC134" s="23"/>
      <c r="AD134" s="23"/>
      <c r="AE134" s="23"/>
      <c r="AF134" s="23"/>
      <c r="AG134" s="23" t="s">
        <v>103</v>
      </c>
      <c r="AH134" s="23"/>
      <c r="AI134" s="23" t="str">
        <f>TEXT(TRUNC(P134/BK129,1),"#,##0.#")</f>
        <v>512.9</v>
      </c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7"/>
      <c r="CI134" s="27"/>
      <c r="CJ134" s="28"/>
      <c r="CK134" s="28" t="str">
        <f>AI134</f>
        <v>512.9</v>
      </c>
      <c r="CL134" s="39"/>
    </row>
    <row r="135" spans="2:90" ht="19.5" customHeight="1" x14ac:dyDescent="0.25">
      <c r="B135" s="26"/>
      <c r="C135" s="23"/>
      <c r="D135" s="23"/>
      <c r="E135" s="23"/>
      <c r="F135" s="23"/>
      <c r="G135" s="23" t="s">
        <v>126</v>
      </c>
      <c r="H135" s="23"/>
      <c r="I135" s="23"/>
      <c r="J135" s="23"/>
      <c r="K135" s="23" t="s">
        <v>127</v>
      </c>
      <c r="L135" s="23"/>
      <c r="M135" s="23"/>
      <c r="N135" s="23" t="s">
        <v>121</v>
      </c>
      <c r="O135" s="23"/>
      <c r="P135" s="23" t="str">
        <f>TEXT(AI132+AI133+AI134,"#,##0.#######")</f>
        <v>2,588.9</v>
      </c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7">
        <f>CI132+CJ133+CK134</f>
        <v>2588.9</v>
      </c>
      <c r="CI135" s="27"/>
      <c r="CJ135" s="28"/>
      <c r="CK135" s="28"/>
      <c r="CL135" s="39"/>
    </row>
    <row r="136" spans="2:90" ht="19.5" customHeight="1" x14ac:dyDescent="0.25">
      <c r="B136" s="77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78"/>
      <c r="AT136" s="78"/>
      <c r="AU136" s="78"/>
      <c r="AV136" s="78"/>
      <c r="AW136" s="78"/>
      <c r="AX136" s="78"/>
      <c r="AY136" s="78"/>
      <c r="AZ136" s="78"/>
      <c r="BA136" s="78"/>
      <c r="BB136" s="78"/>
      <c r="BC136" s="78"/>
      <c r="BD136" s="78"/>
      <c r="BE136" s="78"/>
      <c r="BF136" s="78"/>
      <c r="BG136" s="78"/>
      <c r="BH136" s="78"/>
      <c r="BI136" s="78"/>
      <c r="BJ136" s="78"/>
      <c r="BK136" s="78"/>
      <c r="BL136" s="78"/>
      <c r="BM136" s="78"/>
      <c r="BN136" s="78"/>
      <c r="BO136" s="78"/>
      <c r="BP136" s="78"/>
      <c r="BQ136" s="78"/>
      <c r="BR136" s="78"/>
      <c r="BS136" s="78"/>
      <c r="BT136" s="78"/>
      <c r="BU136" s="78"/>
      <c r="BV136" s="78"/>
      <c r="BW136" s="78"/>
      <c r="BX136" s="78"/>
      <c r="BY136" s="78"/>
      <c r="BZ136" s="78"/>
      <c r="CA136" s="78"/>
      <c r="CB136" s="78"/>
      <c r="CC136" s="78"/>
      <c r="CD136" s="78"/>
      <c r="CE136" s="78"/>
      <c r="CF136" s="78"/>
      <c r="CG136" s="78"/>
      <c r="CH136" s="91"/>
      <c r="CI136" s="91"/>
      <c r="CJ136" s="92"/>
      <c r="CK136" s="92"/>
      <c r="CL136" s="93"/>
    </row>
    <row r="137" spans="2:90" ht="18.600000000000001" customHeight="1" x14ac:dyDescent="0.25">
      <c r="B137" s="82" t="s">
        <v>158</v>
      </c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83"/>
      <c r="AH137" s="83"/>
      <c r="AI137" s="83"/>
      <c r="AJ137" s="83"/>
      <c r="AK137" s="83"/>
      <c r="AL137" s="83"/>
      <c r="AM137" s="83"/>
      <c r="AN137" s="83"/>
      <c r="AO137" s="83"/>
      <c r="AP137" s="83"/>
      <c r="AQ137" s="83"/>
      <c r="AR137" s="83"/>
      <c r="AS137" s="83"/>
      <c r="AT137" s="83"/>
      <c r="AU137" s="83"/>
      <c r="AV137" s="83"/>
      <c r="AW137" s="83"/>
      <c r="AX137" s="83"/>
      <c r="AY137" s="83"/>
      <c r="AZ137" s="83"/>
      <c r="BA137" s="83"/>
      <c r="BB137" s="83"/>
      <c r="BC137" s="83"/>
      <c r="BD137" s="83"/>
      <c r="BE137" s="83"/>
      <c r="BF137" s="83"/>
      <c r="BG137" s="83"/>
      <c r="BH137" s="83"/>
      <c r="BI137" s="83"/>
      <c r="BJ137" s="83"/>
      <c r="BK137" s="83"/>
      <c r="BL137" s="83"/>
      <c r="BM137" s="83"/>
      <c r="BN137" s="83"/>
      <c r="BO137" s="83"/>
      <c r="BP137" s="83"/>
      <c r="BQ137" s="83"/>
      <c r="BR137" s="83"/>
      <c r="BS137" s="83"/>
      <c r="BT137" s="83"/>
      <c r="BU137" s="83"/>
      <c r="BV137" s="83"/>
      <c r="BW137" s="83"/>
      <c r="BX137" s="83"/>
      <c r="BY137" s="83"/>
      <c r="BZ137" s="83"/>
      <c r="CA137" s="83"/>
      <c r="CB137" s="83"/>
      <c r="CC137" s="83"/>
      <c r="CD137" s="83"/>
      <c r="CE137" s="83"/>
      <c r="CF137" s="83"/>
      <c r="CG137" s="83"/>
      <c r="CH137" s="94">
        <f>TRUNC(CI137+CJ137+CK137,0)</f>
        <v>1062</v>
      </c>
      <c r="CI137" s="94">
        <f>TRUNC(CI146,0)</f>
        <v>535</v>
      </c>
      <c r="CJ137" s="54">
        <f>TRUNC(CJ147,0)</f>
        <v>226</v>
      </c>
      <c r="CK137" s="54">
        <f>TRUNC(CK148,0)</f>
        <v>301</v>
      </c>
      <c r="CL137" s="101">
        <v>823</v>
      </c>
    </row>
    <row r="138" spans="2:90" ht="18.600000000000001" customHeight="1" x14ac:dyDescent="0.25">
      <c r="B138" s="26"/>
      <c r="C138" s="23"/>
      <c r="D138" s="23" t="s">
        <v>94</v>
      </c>
      <c r="E138" s="23"/>
      <c r="F138" s="23"/>
      <c r="G138" s="23" t="s">
        <v>151</v>
      </c>
      <c r="H138" s="23"/>
      <c r="I138" s="23"/>
      <c r="J138" s="23"/>
      <c r="K138" s="23"/>
      <c r="L138" s="23"/>
      <c r="M138" s="23" t="s">
        <v>121</v>
      </c>
      <c r="N138" s="23"/>
      <c r="O138" s="23" t="s">
        <v>152</v>
      </c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 t="s">
        <v>153</v>
      </c>
      <c r="AB138" s="23"/>
      <c r="AC138" s="23"/>
      <c r="AD138" s="23"/>
      <c r="AE138" s="23"/>
      <c r="AF138" s="23"/>
      <c r="AG138" s="23"/>
      <c r="AH138" s="23" t="s">
        <v>159</v>
      </c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7"/>
      <c r="CI138" s="27"/>
      <c r="CJ138" s="28"/>
      <c r="CK138" s="28"/>
      <c r="CL138" s="39" t="s">
        <v>155</v>
      </c>
    </row>
    <row r="139" spans="2:90" ht="18.600000000000001" customHeight="1" x14ac:dyDescent="0.25">
      <c r="B139" s="26"/>
      <c r="C139" s="23"/>
      <c r="D139" s="23"/>
      <c r="E139" s="23"/>
      <c r="F139" s="23"/>
      <c r="G139" s="23" t="s">
        <v>112</v>
      </c>
      <c r="H139" s="23"/>
      <c r="I139" s="23" t="s">
        <v>103</v>
      </c>
      <c r="J139" s="23"/>
      <c r="K139" s="23" t="str">
        <f>TEXT(0.6,"#,##0.#######")</f>
        <v>0.6</v>
      </c>
      <c r="L139" s="23"/>
      <c r="M139" s="23"/>
      <c r="N139" s="23"/>
      <c r="O139" s="23"/>
      <c r="P139" s="23"/>
      <c r="Q139" s="23" t="s">
        <v>114</v>
      </c>
      <c r="R139" s="23"/>
      <c r="S139" s="23" t="s">
        <v>103</v>
      </c>
      <c r="T139" s="23"/>
      <c r="U139" s="23" t="str">
        <f>TEXT(1,"#,##0.#######")</f>
        <v>1.</v>
      </c>
      <c r="V139" s="23"/>
      <c r="W139" s="23" t="s">
        <v>122</v>
      </c>
      <c r="X139" s="23"/>
      <c r="Y139" s="23" t="str">
        <f>TEXT(1.35,"#,##0.#######")</f>
        <v>1.35</v>
      </c>
      <c r="Z139" s="23"/>
      <c r="AA139" s="23"/>
      <c r="AB139" s="29" t="s">
        <v>103</v>
      </c>
      <c r="AC139" s="29"/>
      <c r="AD139" s="23" t="str">
        <f>TEXT(U139/Y139,"#,##0.##")</f>
        <v>0.74</v>
      </c>
      <c r="AE139" s="29"/>
      <c r="AF139" s="29"/>
      <c r="AG139" s="29"/>
      <c r="AH139" s="29"/>
      <c r="AI139" s="23" t="s">
        <v>113</v>
      </c>
      <c r="AJ139" s="23"/>
      <c r="AK139" s="23" t="s">
        <v>103</v>
      </c>
      <c r="AL139" s="23"/>
      <c r="AM139" s="23" t="str">
        <f>TEXT(0.9,"#,##0.#######")</f>
        <v>0.9</v>
      </c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7"/>
      <c r="CI139" s="27"/>
      <c r="CJ139" s="28"/>
      <c r="CK139" s="28"/>
      <c r="CL139" s="39"/>
    </row>
    <row r="140" spans="2:90" ht="18.600000000000001" customHeight="1" x14ac:dyDescent="0.25">
      <c r="B140" s="26"/>
      <c r="C140" s="23"/>
      <c r="D140" s="23"/>
      <c r="E140" s="23"/>
      <c r="F140" s="23"/>
      <c r="G140" s="23" t="s">
        <v>107</v>
      </c>
      <c r="H140" s="23"/>
      <c r="I140" s="23" t="s">
        <v>103</v>
      </c>
      <c r="J140" s="23"/>
      <c r="K140" s="23" t="str">
        <f>TEXT(0.65,"#,##0.#######")</f>
        <v>0.65</v>
      </c>
      <c r="L140" s="23"/>
      <c r="M140" s="23"/>
      <c r="N140" s="23"/>
      <c r="O140" s="23"/>
      <c r="P140" s="23"/>
      <c r="Q140" s="23"/>
      <c r="R140" s="23"/>
      <c r="S140" s="23" t="s">
        <v>108</v>
      </c>
      <c r="T140" s="23"/>
      <c r="U140" s="23"/>
      <c r="V140" s="23" t="s">
        <v>103</v>
      </c>
      <c r="W140" s="23"/>
      <c r="X140" s="23" t="str">
        <f>TEXT(16,"#,##0.#######")</f>
        <v>16.</v>
      </c>
      <c r="Y140" s="23"/>
      <c r="Z140" s="23"/>
      <c r="AA140" s="23" t="s">
        <v>109</v>
      </c>
      <c r="AB140" s="23"/>
      <c r="AC140" s="23"/>
      <c r="AD140" s="23"/>
      <c r="AE140" s="23" t="s">
        <v>96</v>
      </c>
      <c r="AF140" s="23" t="str">
        <f>TEXT(45,"#,##0.#######")</f>
        <v>45.</v>
      </c>
      <c r="AG140" s="23"/>
      <c r="AH140" s="23" t="s">
        <v>110</v>
      </c>
      <c r="AI140" s="23"/>
      <c r="AJ140" s="23" t="s">
        <v>101</v>
      </c>
      <c r="AK140" s="23" t="s">
        <v>111</v>
      </c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7"/>
      <c r="CI140" s="27"/>
      <c r="CJ140" s="28"/>
      <c r="CK140" s="28"/>
      <c r="CL140" s="39"/>
    </row>
    <row r="141" spans="2:90" ht="18.600000000000001" customHeight="1" x14ac:dyDescent="0.25">
      <c r="B141" s="26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7"/>
      <c r="CI141" s="27"/>
      <c r="CJ141" s="28"/>
      <c r="CK141" s="28"/>
      <c r="CL141" s="39"/>
    </row>
    <row r="142" spans="2:90" ht="18.600000000000001" customHeight="1" x14ac:dyDescent="0.25">
      <c r="B142" s="26"/>
      <c r="C142" s="23"/>
      <c r="D142" s="23"/>
      <c r="E142" s="23"/>
      <c r="F142" s="23"/>
      <c r="G142" s="23"/>
      <c r="H142" s="23"/>
      <c r="I142" s="23"/>
      <c r="J142" s="23"/>
      <c r="K142" s="23"/>
      <c r="L142" s="23" t="str">
        <f>TEXT(3600,"#,##0.#######")</f>
        <v>3,600.</v>
      </c>
      <c r="M142" s="23"/>
      <c r="N142" s="23"/>
      <c r="O142" s="23"/>
      <c r="P142" s="23"/>
      <c r="Q142" s="23" t="s">
        <v>102</v>
      </c>
      <c r="R142" s="23"/>
      <c r="S142" s="23" t="s">
        <v>112</v>
      </c>
      <c r="T142" s="23" t="s">
        <v>102</v>
      </c>
      <c r="U142" s="23"/>
      <c r="V142" s="23" t="s">
        <v>113</v>
      </c>
      <c r="W142" s="23" t="s">
        <v>102</v>
      </c>
      <c r="X142" s="23"/>
      <c r="Y142" s="23" t="s">
        <v>114</v>
      </c>
      <c r="Z142" s="23" t="s">
        <v>102</v>
      </c>
      <c r="AA142" s="23"/>
      <c r="AB142" s="23" t="s">
        <v>107</v>
      </c>
      <c r="AC142" s="23"/>
      <c r="AD142" s="23"/>
      <c r="AE142" s="23"/>
      <c r="AF142" s="23"/>
      <c r="AG142" s="23"/>
      <c r="AH142" s="23"/>
      <c r="AI142" s="23" t="str">
        <f>TEXT(L142,"#,##0.#######")</f>
        <v>3,600.</v>
      </c>
      <c r="AJ142" s="23"/>
      <c r="AK142" s="23"/>
      <c r="AL142" s="23"/>
      <c r="AM142" s="23"/>
      <c r="AN142" s="23" t="s">
        <v>102</v>
      </c>
      <c r="AO142" s="23"/>
      <c r="AP142" s="23" t="str">
        <f>TEXT(K139,"#,##0.#######")</f>
        <v>0.6</v>
      </c>
      <c r="AQ142" s="23"/>
      <c r="AR142" s="23"/>
      <c r="AS142" s="23" t="s">
        <v>102</v>
      </c>
      <c r="AT142" s="23"/>
      <c r="AU142" s="23" t="str">
        <f>TEXT(AM139,"#,##0.#######")</f>
        <v>0.9</v>
      </c>
      <c r="AV142" s="23"/>
      <c r="AW142" s="23"/>
      <c r="AX142" s="23" t="s">
        <v>102</v>
      </c>
      <c r="AY142" s="23"/>
      <c r="AZ142" s="23" t="str">
        <f>TEXT(AD139,"#,##0.#######")</f>
        <v>0.74</v>
      </c>
      <c r="BA142" s="29"/>
      <c r="BB142" s="29"/>
      <c r="BC142" s="23" t="s">
        <v>102</v>
      </c>
      <c r="BD142" s="23"/>
      <c r="BE142" s="23" t="str">
        <f>TEXT(K140,"#,##0.#######")</f>
        <v>0.65</v>
      </c>
      <c r="BF142" s="23"/>
      <c r="BG142" s="23"/>
      <c r="BH142" s="23"/>
      <c r="BI142" s="29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7"/>
      <c r="CI142" s="27"/>
      <c r="CJ142" s="28"/>
      <c r="CK142" s="28"/>
      <c r="CL142" s="39"/>
    </row>
    <row r="143" spans="2:90" ht="18.600000000000001" customHeight="1" x14ac:dyDescent="0.25">
      <c r="B143" s="26"/>
      <c r="C143" s="23"/>
      <c r="D143" s="23"/>
      <c r="E143" s="23"/>
      <c r="F143" s="23"/>
      <c r="G143" s="23" t="s">
        <v>115</v>
      </c>
      <c r="H143" s="23"/>
      <c r="I143" s="23" t="s">
        <v>103</v>
      </c>
      <c r="J143" s="23"/>
      <c r="K143" s="23" t="s">
        <v>116</v>
      </c>
      <c r="L143" s="23"/>
      <c r="M143" s="23" t="s">
        <v>116</v>
      </c>
      <c r="N143" s="23"/>
      <c r="O143" s="23" t="s">
        <v>116</v>
      </c>
      <c r="P143" s="23"/>
      <c r="Q143" s="23" t="s">
        <v>116</v>
      </c>
      <c r="R143" s="23"/>
      <c r="S143" s="23" t="s">
        <v>116</v>
      </c>
      <c r="T143" s="23"/>
      <c r="U143" s="23" t="s">
        <v>116</v>
      </c>
      <c r="V143" s="23"/>
      <c r="W143" s="23" t="s">
        <v>116</v>
      </c>
      <c r="X143" s="23"/>
      <c r="Y143" s="23" t="s">
        <v>116</v>
      </c>
      <c r="Z143" s="23"/>
      <c r="AA143" s="23" t="s">
        <v>116</v>
      </c>
      <c r="AB143" s="23"/>
      <c r="AC143" s="23" t="s">
        <v>116</v>
      </c>
      <c r="AD143" s="23"/>
      <c r="AE143" s="23"/>
      <c r="AF143" s="23" t="s">
        <v>103</v>
      </c>
      <c r="AG143" s="23"/>
      <c r="AH143" s="23" t="s">
        <v>116</v>
      </c>
      <c r="AI143" s="23"/>
      <c r="AJ143" s="23" t="s">
        <v>116</v>
      </c>
      <c r="AK143" s="23"/>
      <c r="AL143" s="23" t="s">
        <v>116</v>
      </c>
      <c r="AM143" s="23"/>
      <c r="AN143" s="23" t="s">
        <v>116</v>
      </c>
      <c r="AO143" s="23"/>
      <c r="AP143" s="23" t="s">
        <v>116</v>
      </c>
      <c r="AQ143" s="23"/>
      <c r="AR143" s="23" t="s">
        <v>116</v>
      </c>
      <c r="AS143" s="23"/>
      <c r="AT143" s="23" t="s">
        <v>116</v>
      </c>
      <c r="AU143" s="23"/>
      <c r="AV143" s="23" t="s">
        <v>116</v>
      </c>
      <c r="AW143" s="23"/>
      <c r="AX143" s="23" t="s">
        <v>116</v>
      </c>
      <c r="AY143" s="23"/>
      <c r="AZ143" s="23" t="s">
        <v>116</v>
      </c>
      <c r="BA143" s="23"/>
      <c r="BB143" s="23" t="s">
        <v>116</v>
      </c>
      <c r="BC143" s="23"/>
      <c r="BD143" s="23" t="s">
        <v>116</v>
      </c>
      <c r="BE143" s="23"/>
      <c r="BF143" s="23" t="s">
        <v>116</v>
      </c>
      <c r="BG143" s="23"/>
      <c r="BH143" s="23"/>
      <c r="BI143" s="23" t="s">
        <v>103</v>
      </c>
      <c r="BJ143" s="23"/>
      <c r="BK143" s="23" t="str">
        <f>TEXT(ROUND((3600*K139*AM139*U139*K140)/(X140),2),"#,##0.#######")</f>
        <v>78.98</v>
      </c>
      <c r="BL143" s="23"/>
      <c r="BM143" s="23"/>
      <c r="BN143" s="23"/>
      <c r="BO143" s="23"/>
      <c r="BP143" s="23"/>
      <c r="BQ143" s="23"/>
      <c r="BR143" s="23" t="s">
        <v>117</v>
      </c>
      <c r="BS143" s="23"/>
      <c r="BT143" s="23" t="s">
        <v>118</v>
      </c>
      <c r="BU143" s="23" t="s">
        <v>119</v>
      </c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7"/>
      <c r="CI143" s="27"/>
      <c r="CJ143" s="28"/>
      <c r="CK143" s="28"/>
      <c r="CL143" s="39"/>
    </row>
    <row r="144" spans="2:90" ht="18.600000000000001" customHeight="1" x14ac:dyDescent="0.25">
      <c r="B144" s="26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 t="s">
        <v>108</v>
      </c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 t="str">
        <f>TEXT(X140,"#,##0.#######")</f>
        <v>16.</v>
      </c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7"/>
      <c r="CI144" s="27"/>
      <c r="CJ144" s="28"/>
      <c r="CK144" s="28"/>
      <c r="CL144" s="39"/>
    </row>
    <row r="145" spans="2:90" ht="18.600000000000001" customHeight="1" x14ac:dyDescent="0.25">
      <c r="B145" s="26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7"/>
      <c r="CI145" s="27"/>
      <c r="CJ145" s="28"/>
      <c r="CK145" s="28"/>
      <c r="CL145" s="39"/>
    </row>
    <row r="146" spans="2:90" ht="18.600000000000001" customHeight="1" x14ac:dyDescent="0.25">
      <c r="B146" s="26"/>
      <c r="C146" s="23"/>
      <c r="D146" s="23"/>
      <c r="E146" s="23"/>
      <c r="F146" s="23"/>
      <c r="G146" s="23" t="s">
        <v>120</v>
      </c>
      <c r="H146" s="23"/>
      <c r="I146" s="23"/>
      <c r="J146" s="23"/>
      <c r="K146" s="23"/>
      <c r="L146" s="23"/>
      <c r="M146" s="23"/>
      <c r="N146" s="23" t="s">
        <v>121</v>
      </c>
      <c r="O146" s="23"/>
      <c r="P146" s="23" t="str">
        <f>TEXT([1]기계경비총괄표!G8,"#,##0.#######")</f>
        <v>42,267.</v>
      </c>
      <c r="Q146" s="23"/>
      <c r="R146" s="23"/>
      <c r="S146" s="23"/>
      <c r="T146" s="23"/>
      <c r="U146" s="23"/>
      <c r="V146" s="23"/>
      <c r="W146" s="23"/>
      <c r="X146" s="23"/>
      <c r="Y146" s="23" t="s">
        <v>122</v>
      </c>
      <c r="Z146" s="23"/>
      <c r="AA146" s="23"/>
      <c r="AB146" s="23" t="str">
        <f>TEXT(BK143,"#,##0.#######")</f>
        <v>78.98</v>
      </c>
      <c r="AC146" s="23"/>
      <c r="AD146" s="23"/>
      <c r="AE146" s="23"/>
      <c r="AF146" s="23"/>
      <c r="AG146" s="23" t="s">
        <v>103</v>
      </c>
      <c r="AH146" s="23"/>
      <c r="AI146" s="23" t="str">
        <f>TEXT(TRUNC(P146/BK143,1),"#,##0.#")</f>
        <v>535.1</v>
      </c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7"/>
      <c r="CI146" s="27" t="str">
        <f>AI146</f>
        <v>535.1</v>
      </c>
      <c r="CJ146" s="28"/>
      <c r="CK146" s="28"/>
      <c r="CL146" s="39"/>
    </row>
    <row r="147" spans="2:90" ht="18.600000000000001" customHeight="1" x14ac:dyDescent="0.25">
      <c r="B147" s="26"/>
      <c r="C147" s="23"/>
      <c r="D147" s="23"/>
      <c r="E147" s="23"/>
      <c r="F147" s="23"/>
      <c r="G147" s="23" t="s">
        <v>123</v>
      </c>
      <c r="H147" s="23"/>
      <c r="I147" s="23"/>
      <c r="J147" s="23"/>
      <c r="K147" s="23"/>
      <c r="L147" s="23"/>
      <c r="M147" s="23"/>
      <c r="N147" s="23" t="s">
        <v>121</v>
      </c>
      <c r="O147" s="23"/>
      <c r="P147" s="23" t="str">
        <f>TEXT([1]기계경비총괄표!F8,"#,##0.#######")</f>
        <v>17,879.3</v>
      </c>
      <c r="Q147" s="23"/>
      <c r="R147" s="23"/>
      <c r="S147" s="23"/>
      <c r="T147" s="23"/>
      <c r="U147" s="23"/>
      <c r="V147" s="23"/>
      <c r="W147" s="23"/>
      <c r="X147" s="23"/>
      <c r="Y147" s="23" t="s">
        <v>122</v>
      </c>
      <c r="Z147" s="23"/>
      <c r="AA147" s="23"/>
      <c r="AB147" s="23" t="str">
        <f>TEXT(BK143,"#,##0.#######")</f>
        <v>78.98</v>
      </c>
      <c r="AC147" s="23"/>
      <c r="AD147" s="23"/>
      <c r="AE147" s="23"/>
      <c r="AF147" s="23"/>
      <c r="AG147" s="23" t="s">
        <v>103</v>
      </c>
      <c r="AH147" s="23"/>
      <c r="AI147" s="23" t="str">
        <f>TEXT(TRUNC(P147/BK143,1),"#,##0.#")</f>
        <v>226.3</v>
      </c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7"/>
      <c r="CI147" s="27"/>
      <c r="CJ147" s="28" t="str">
        <f>AI147</f>
        <v>226.3</v>
      </c>
      <c r="CK147" s="28"/>
      <c r="CL147" s="39"/>
    </row>
    <row r="148" spans="2:90" ht="18.600000000000001" customHeight="1" x14ac:dyDescent="0.25">
      <c r="B148" s="26"/>
      <c r="C148" s="23"/>
      <c r="D148" s="23"/>
      <c r="E148" s="23"/>
      <c r="F148" s="23"/>
      <c r="G148" s="23" t="s">
        <v>124</v>
      </c>
      <c r="H148" s="23"/>
      <c r="I148" s="23"/>
      <c r="J148" s="23"/>
      <c r="K148" s="23" t="s">
        <v>125</v>
      </c>
      <c r="L148" s="23"/>
      <c r="M148" s="23"/>
      <c r="N148" s="23" t="s">
        <v>121</v>
      </c>
      <c r="O148" s="23"/>
      <c r="P148" s="23" t="str">
        <f>TEXT([1]기계경비총괄표!H8,"#,##0.#######")</f>
        <v>23,834.4</v>
      </c>
      <c r="Q148" s="23"/>
      <c r="R148" s="23"/>
      <c r="S148" s="23"/>
      <c r="T148" s="23"/>
      <c r="U148" s="23"/>
      <c r="V148" s="23"/>
      <c r="W148" s="23"/>
      <c r="X148" s="23"/>
      <c r="Y148" s="23" t="s">
        <v>122</v>
      </c>
      <c r="Z148" s="23"/>
      <c r="AA148" s="23"/>
      <c r="AB148" s="23" t="str">
        <f>TEXT(BK143,"#,##0.#######")</f>
        <v>78.98</v>
      </c>
      <c r="AC148" s="23"/>
      <c r="AD148" s="23"/>
      <c r="AE148" s="23"/>
      <c r="AF148" s="23"/>
      <c r="AG148" s="23" t="s">
        <v>103</v>
      </c>
      <c r="AH148" s="23"/>
      <c r="AI148" s="23" t="str">
        <f>TEXT(TRUNC(P148/BK143,1),"#,##0.#")</f>
        <v>301.7</v>
      </c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7"/>
      <c r="CI148" s="27"/>
      <c r="CJ148" s="28"/>
      <c r="CK148" s="28" t="str">
        <f>AI148</f>
        <v>301.7</v>
      </c>
      <c r="CL148" s="39"/>
    </row>
    <row r="149" spans="2:90" ht="18.600000000000001" customHeight="1" x14ac:dyDescent="0.25">
      <c r="B149" s="26"/>
      <c r="C149" s="23"/>
      <c r="D149" s="23"/>
      <c r="E149" s="23"/>
      <c r="F149" s="23"/>
      <c r="G149" s="23" t="s">
        <v>126</v>
      </c>
      <c r="H149" s="23"/>
      <c r="I149" s="23"/>
      <c r="J149" s="23"/>
      <c r="K149" s="23" t="s">
        <v>127</v>
      </c>
      <c r="L149" s="23"/>
      <c r="M149" s="23"/>
      <c r="N149" s="23" t="s">
        <v>121</v>
      </c>
      <c r="O149" s="23"/>
      <c r="P149" s="23" t="str">
        <f>TEXT(AI146+AI147+AI148,"#,##0.#######")</f>
        <v>1,063.1</v>
      </c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7">
        <f>CI146+CJ147+CK148</f>
        <v>1063.1000000000001</v>
      </c>
      <c r="CI149" s="27"/>
      <c r="CJ149" s="28"/>
      <c r="CK149" s="28"/>
      <c r="CL149" s="39"/>
    </row>
    <row r="150" spans="2:90" ht="18.600000000000001" customHeight="1" x14ac:dyDescent="0.25">
      <c r="B150" s="26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7"/>
      <c r="CI150" s="27"/>
      <c r="CJ150" s="28"/>
      <c r="CK150" s="28"/>
      <c r="CL150" s="39"/>
    </row>
    <row r="151" spans="2:90" ht="18.600000000000001" customHeight="1" x14ac:dyDescent="0.25">
      <c r="B151" s="46" t="s">
        <v>160</v>
      </c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7"/>
      <c r="BM151" s="47"/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7"/>
      <c r="CA151" s="47"/>
      <c r="CB151" s="47"/>
      <c r="CC151" s="47"/>
      <c r="CD151" s="47"/>
      <c r="CE151" s="47"/>
      <c r="CF151" s="47"/>
      <c r="CG151" s="47"/>
      <c r="CH151" s="48">
        <f>TRUNC(CI151+CJ151+CK151,0)</f>
        <v>168975</v>
      </c>
      <c r="CI151" s="48">
        <f>TRUNC(CI153+CI154+CI162,0)</f>
        <v>161637</v>
      </c>
      <c r="CJ151" s="49">
        <f>TRUNC(CJ156+CJ163,0)</f>
        <v>5874</v>
      </c>
      <c r="CK151" s="49">
        <f>TRUNC(CK160+CK164,0)</f>
        <v>1464</v>
      </c>
      <c r="CL151" s="97">
        <v>1231</v>
      </c>
    </row>
    <row r="152" spans="2:90" ht="18.600000000000001" customHeight="1" x14ac:dyDescent="0.25">
      <c r="B152" s="26"/>
      <c r="C152" s="23"/>
      <c r="D152" s="23" t="s">
        <v>94</v>
      </c>
      <c r="E152" s="23"/>
      <c r="F152" s="23"/>
      <c r="G152" s="23" t="s">
        <v>161</v>
      </c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  <c r="CF152" s="23"/>
      <c r="CG152" s="23"/>
      <c r="CH152" s="27"/>
      <c r="CI152" s="27"/>
      <c r="CJ152" s="28"/>
      <c r="CK152" s="28"/>
      <c r="CL152" s="39" t="s">
        <v>162</v>
      </c>
    </row>
    <row r="153" spans="2:90" ht="18.600000000000001" customHeight="1" x14ac:dyDescent="0.25">
      <c r="B153" s="26"/>
      <c r="C153" s="23"/>
      <c r="D153" s="23"/>
      <c r="E153" s="23"/>
      <c r="F153" s="23"/>
      <c r="G153" s="23" t="s">
        <v>163</v>
      </c>
      <c r="H153" s="23"/>
      <c r="I153" s="23"/>
      <c r="J153" s="23"/>
      <c r="K153" s="23"/>
      <c r="L153" s="23"/>
      <c r="M153" s="23"/>
      <c r="N153" s="23"/>
      <c r="O153" s="23" t="s">
        <v>121</v>
      </c>
      <c r="P153" s="23" t="str">
        <f>TEXT([1]노임및중기단가!I12,"#,##0.#######")</f>
        <v>156,731.</v>
      </c>
      <c r="Q153" s="23"/>
      <c r="R153" s="23"/>
      <c r="S153" s="23"/>
      <c r="T153" s="23"/>
      <c r="U153" s="23"/>
      <c r="V153" s="23"/>
      <c r="W153" s="23"/>
      <c r="X153" s="23" t="s">
        <v>102</v>
      </c>
      <c r="Y153" s="23"/>
      <c r="Z153" s="23"/>
      <c r="AA153" s="23" t="str">
        <f>TEXT(0.57,"#,##0.#######")</f>
        <v>0.57</v>
      </c>
      <c r="AB153" s="23"/>
      <c r="AC153" s="23"/>
      <c r="AD153" s="23"/>
      <c r="AE153" s="23" t="s">
        <v>103</v>
      </c>
      <c r="AF153" s="23"/>
      <c r="AG153" s="23"/>
      <c r="AH153" s="23" t="str">
        <f>TEXT(TRUNC(P153*AA153,1),"#,##0.#")</f>
        <v>89,336.6</v>
      </c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  <c r="CF153" s="23"/>
      <c r="CG153" s="23"/>
      <c r="CH153" s="27"/>
      <c r="CI153" s="27" t="str">
        <f>AH153</f>
        <v>89,336.6</v>
      </c>
      <c r="CJ153" s="28"/>
      <c r="CK153" s="28"/>
      <c r="CL153" s="39"/>
    </row>
    <row r="154" spans="2:90" ht="18.600000000000001" customHeight="1" x14ac:dyDescent="0.25">
      <c r="B154" s="26"/>
      <c r="C154" s="23"/>
      <c r="D154" s="23"/>
      <c r="E154" s="23"/>
      <c r="F154" s="23"/>
      <c r="G154" s="23" t="s">
        <v>164</v>
      </c>
      <c r="H154" s="23"/>
      <c r="I154" s="23"/>
      <c r="J154" s="23"/>
      <c r="K154" s="23"/>
      <c r="L154" s="23"/>
      <c r="M154" s="23"/>
      <c r="N154" s="23"/>
      <c r="O154" s="23" t="s">
        <v>121</v>
      </c>
      <c r="P154" s="23" t="str">
        <f>TEXT([1]노임및중기단가!I8,"#,##0.#######")</f>
        <v>138,290.</v>
      </c>
      <c r="Q154" s="23"/>
      <c r="R154" s="23"/>
      <c r="S154" s="23"/>
      <c r="T154" s="23"/>
      <c r="U154" s="23"/>
      <c r="V154" s="23"/>
      <c r="W154" s="23"/>
      <c r="X154" s="23" t="s">
        <v>102</v>
      </c>
      <c r="Y154" s="23"/>
      <c r="Z154" s="23"/>
      <c r="AA154" s="23" t="str">
        <f>TEXT(0.37,"#,##0.#######")</f>
        <v>0.37</v>
      </c>
      <c r="AB154" s="23"/>
      <c r="AC154" s="23"/>
      <c r="AD154" s="23"/>
      <c r="AE154" s="23" t="s">
        <v>103</v>
      </c>
      <c r="AF154" s="23"/>
      <c r="AG154" s="23"/>
      <c r="AH154" s="23" t="str">
        <f>TEXT(TRUNC(P154*AA154,1),"#,##0.#")</f>
        <v>51,167.3</v>
      </c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  <c r="CF154" s="23"/>
      <c r="CG154" s="23"/>
      <c r="CH154" s="27"/>
      <c r="CI154" s="27" t="str">
        <f>AH154</f>
        <v>51,167.3</v>
      </c>
      <c r="CJ154" s="28"/>
      <c r="CK154" s="28"/>
      <c r="CL154" s="39"/>
    </row>
    <row r="155" spans="2:90" ht="18.600000000000001" customHeight="1" x14ac:dyDescent="0.25">
      <c r="B155" s="26"/>
      <c r="C155" s="23"/>
      <c r="D155" s="23"/>
      <c r="E155" s="23"/>
      <c r="F155" s="23"/>
      <c r="G155" s="23" t="s">
        <v>165</v>
      </c>
      <c r="H155" s="23"/>
      <c r="I155" s="23"/>
      <c r="J155" s="23"/>
      <c r="K155" s="23"/>
      <c r="L155" s="23"/>
      <c r="M155" s="23"/>
      <c r="N155" s="23"/>
      <c r="O155" s="23"/>
      <c r="P155" s="23"/>
      <c r="Q155" s="23" t="s">
        <v>166</v>
      </c>
      <c r="R155" s="23"/>
      <c r="S155" s="23"/>
      <c r="T155" s="23"/>
      <c r="U155" s="23"/>
      <c r="V155" s="23"/>
      <c r="W155" s="23"/>
      <c r="X155" s="23" t="str">
        <f>TEXT(1,"#,##0.#######")</f>
        <v>1.</v>
      </c>
      <c r="Y155" s="23"/>
      <c r="Z155" s="23" t="s">
        <v>167</v>
      </c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7"/>
      <c r="CI155" s="27"/>
      <c r="CJ155" s="28"/>
      <c r="CK155" s="28"/>
      <c r="CL155" s="39"/>
    </row>
    <row r="156" spans="2:90" ht="18.600000000000001" customHeight="1" x14ac:dyDescent="0.25">
      <c r="B156" s="26"/>
      <c r="C156" s="23"/>
      <c r="D156" s="23"/>
      <c r="E156" s="23"/>
      <c r="F156" s="23"/>
      <c r="G156" s="23"/>
      <c r="H156" s="23"/>
      <c r="I156" s="23"/>
      <c r="J156" s="23"/>
      <c r="K156" s="23"/>
      <c r="L156" s="23" t="s">
        <v>96</v>
      </c>
      <c r="M156" s="23" t="str">
        <f>TEXT(TRUNC(AH153,1),"#,##0.#")</f>
        <v>89,336.6</v>
      </c>
      <c r="N156" s="23"/>
      <c r="O156" s="23"/>
      <c r="P156" s="23"/>
      <c r="Q156" s="23"/>
      <c r="R156" s="23"/>
      <c r="S156" s="23"/>
      <c r="T156" s="23" t="s">
        <v>97</v>
      </c>
      <c r="U156" s="23"/>
      <c r="V156" s="23"/>
      <c r="W156" s="23" t="str">
        <f>TEXT(TRUNC(AH154,1),"#,##0.#")</f>
        <v>51,167.3</v>
      </c>
      <c r="X156" s="23"/>
      <c r="Y156" s="23"/>
      <c r="Z156" s="23"/>
      <c r="AA156" s="23"/>
      <c r="AB156" s="23"/>
      <c r="AC156" s="23" t="s">
        <v>101</v>
      </c>
      <c r="AD156" s="23" t="s">
        <v>102</v>
      </c>
      <c r="AE156" s="23"/>
      <c r="AF156" s="23" t="str">
        <f>TEXT(0.01,"#,##0.#######")</f>
        <v>0.01</v>
      </c>
      <c r="AG156" s="23"/>
      <c r="AH156" s="23"/>
      <c r="AI156" s="23"/>
      <c r="AJ156" s="23" t="s">
        <v>103</v>
      </c>
      <c r="AK156" s="23"/>
      <c r="AL156" s="23" t="str">
        <f>TEXT(TRUNC((M156+W156)*AF156,1),"#,##0.#")</f>
        <v>1,405.</v>
      </c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7"/>
      <c r="CI156" s="27"/>
      <c r="CJ156" s="28" t="str">
        <f>AL156</f>
        <v>1,405.</v>
      </c>
      <c r="CK156" s="28"/>
      <c r="CL156" s="39"/>
    </row>
    <row r="157" spans="2:90" ht="18.600000000000001" customHeight="1" x14ac:dyDescent="0.25">
      <c r="B157" s="26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7"/>
      <c r="CI157" s="27"/>
      <c r="CJ157" s="28"/>
      <c r="CK157" s="28"/>
      <c r="CL157" s="39"/>
    </row>
    <row r="158" spans="2:90" ht="18.600000000000001" customHeight="1" x14ac:dyDescent="0.25">
      <c r="B158" s="26"/>
      <c r="C158" s="23"/>
      <c r="D158" s="23" t="s">
        <v>168</v>
      </c>
      <c r="E158" s="23"/>
      <c r="F158" s="23"/>
      <c r="G158" s="23" t="s">
        <v>169</v>
      </c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  <c r="CF158" s="23"/>
      <c r="CG158" s="23"/>
      <c r="CH158" s="27"/>
      <c r="CI158" s="27"/>
      <c r="CJ158" s="28"/>
      <c r="CK158" s="28"/>
      <c r="CL158" s="39"/>
    </row>
    <row r="159" spans="2:90" ht="18.600000000000001" customHeight="1" x14ac:dyDescent="0.25">
      <c r="B159" s="26"/>
      <c r="C159" s="23"/>
      <c r="D159" s="23"/>
      <c r="E159" s="23"/>
      <c r="F159" s="23"/>
      <c r="G159" s="23" t="s">
        <v>170</v>
      </c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7"/>
      <c r="CI159" s="27"/>
      <c r="CJ159" s="28"/>
      <c r="CK159" s="28"/>
      <c r="CL159" s="39"/>
    </row>
    <row r="160" spans="2:90" ht="18.600000000000001" customHeight="1" x14ac:dyDescent="0.25">
      <c r="B160" s="26"/>
      <c r="C160" s="23"/>
      <c r="D160" s="23"/>
      <c r="E160" s="23"/>
      <c r="F160" s="23"/>
      <c r="G160" s="23"/>
      <c r="H160" s="23" t="s">
        <v>172</v>
      </c>
      <c r="I160" s="23"/>
      <c r="J160" s="23"/>
      <c r="K160" s="23"/>
      <c r="L160" s="23" t="s">
        <v>121</v>
      </c>
      <c r="M160" s="23" t="str">
        <f>TEXT([1]기계경비총괄표!H60,"#,##0.#######")</f>
        <v>417.</v>
      </c>
      <c r="N160" s="23"/>
      <c r="O160" s="23"/>
      <c r="P160" s="23"/>
      <c r="Q160" s="23"/>
      <c r="R160" s="23" t="s">
        <v>102</v>
      </c>
      <c r="S160" s="23"/>
      <c r="T160" s="23"/>
      <c r="U160" s="23" t="str">
        <f>TEXT(1,"#,##0.#######")</f>
        <v>1.</v>
      </c>
      <c r="V160" s="23"/>
      <c r="W160" s="23" t="s">
        <v>119</v>
      </c>
      <c r="X160" s="23"/>
      <c r="Y160" s="23"/>
      <c r="Z160" s="23" t="s">
        <v>103</v>
      </c>
      <c r="AA160" s="23"/>
      <c r="AB160" s="23"/>
      <c r="AC160" s="23" t="str">
        <f>TEXT(TRUNC(M160*U160,1),"#,##0.#")</f>
        <v>417.</v>
      </c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27"/>
      <c r="CI160" s="27"/>
      <c r="CJ160" s="28"/>
      <c r="CK160" s="28" t="str">
        <f>AC160</f>
        <v>417.</v>
      </c>
      <c r="CL160" s="57"/>
    </row>
    <row r="161" spans="2:90" ht="18.600000000000001" customHeight="1" x14ac:dyDescent="0.25">
      <c r="B161" s="26"/>
      <c r="C161" s="23"/>
      <c r="D161" s="23"/>
      <c r="E161" s="23"/>
      <c r="F161" s="23"/>
      <c r="G161" s="23" t="s">
        <v>173</v>
      </c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27"/>
      <c r="CI161" s="27"/>
      <c r="CJ161" s="28"/>
      <c r="CK161" s="28"/>
      <c r="CL161" s="57"/>
    </row>
    <row r="162" spans="2:90" ht="18.600000000000001" customHeight="1" x14ac:dyDescent="0.25">
      <c r="B162" s="26"/>
      <c r="C162" s="23"/>
      <c r="D162" s="23"/>
      <c r="E162" s="23"/>
      <c r="F162" s="23"/>
      <c r="G162" s="23"/>
      <c r="H162" s="23" t="s">
        <v>52</v>
      </c>
      <c r="I162" s="23"/>
      <c r="J162" s="23"/>
      <c r="K162" s="23"/>
      <c r="L162" s="23"/>
      <c r="M162" s="23" t="s">
        <v>43</v>
      </c>
      <c r="N162" s="23" t="str">
        <f>TEXT([1]기계경비총괄표!G62,"#,##0.#######")</f>
        <v>42,267.</v>
      </c>
      <c r="O162" s="23"/>
      <c r="P162" s="23"/>
      <c r="Q162" s="23"/>
      <c r="R162" s="23"/>
      <c r="S162" s="23" t="s">
        <v>48</v>
      </c>
      <c r="T162" s="23"/>
      <c r="U162" s="23"/>
      <c r="V162" s="23" t="str">
        <f>TEXT(0.5,"#,##0.#######")</f>
        <v>0.5</v>
      </c>
      <c r="W162" s="23"/>
      <c r="X162" s="23"/>
      <c r="Y162" s="23" t="s">
        <v>50</v>
      </c>
      <c r="Z162" s="23"/>
      <c r="AA162" s="23"/>
      <c r="AB162" s="23" t="s">
        <v>46</v>
      </c>
      <c r="AC162" s="23"/>
      <c r="AD162" s="23"/>
      <c r="AE162" s="23" t="str">
        <f>TEXT(TRUNC(N162*V162,1),"#,##0.#")</f>
        <v>21,133.5</v>
      </c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27"/>
      <c r="CI162" s="27" t="str">
        <f>AE162</f>
        <v>21,133.5</v>
      </c>
      <c r="CJ162" s="28"/>
      <c r="CK162" s="28"/>
      <c r="CL162" s="57"/>
    </row>
    <row r="163" spans="2:90" ht="18.600000000000001" customHeight="1" x14ac:dyDescent="0.25">
      <c r="B163" s="26"/>
      <c r="C163" s="23"/>
      <c r="D163" s="23"/>
      <c r="E163" s="23"/>
      <c r="F163" s="23"/>
      <c r="G163" s="23"/>
      <c r="H163" s="23" t="s">
        <v>53</v>
      </c>
      <c r="I163" s="23"/>
      <c r="J163" s="23"/>
      <c r="K163" s="23"/>
      <c r="L163" s="23"/>
      <c r="M163" s="23" t="s">
        <v>174</v>
      </c>
      <c r="N163" s="23" t="str">
        <f>TEXT([1]기계경비총괄표!F62,"#,##0.#######")</f>
        <v>8,939.</v>
      </c>
      <c r="O163" s="23"/>
      <c r="P163" s="23"/>
      <c r="Q163" s="23"/>
      <c r="R163" s="23"/>
      <c r="S163" s="23" t="s">
        <v>48</v>
      </c>
      <c r="T163" s="23"/>
      <c r="U163" s="23"/>
      <c r="V163" s="23" t="str">
        <f>TEXT(0.5,"#,##0.#######")</f>
        <v>0.5</v>
      </c>
      <c r="W163" s="23"/>
      <c r="X163" s="23"/>
      <c r="Y163" s="23" t="s">
        <v>119</v>
      </c>
      <c r="Z163" s="23"/>
      <c r="AA163" s="23"/>
      <c r="AB163" s="23" t="s">
        <v>103</v>
      </c>
      <c r="AC163" s="23"/>
      <c r="AD163" s="23"/>
      <c r="AE163" s="23" t="str">
        <f>TEXT(TRUNC(N163*V163,1),"#,##0.#")</f>
        <v>4,469.5</v>
      </c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27"/>
      <c r="CI163" s="27"/>
      <c r="CJ163" s="28" t="str">
        <f>AE163</f>
        <v>4,469.5</v>
      </c>
      <c r="CK163" s="28"/>
      <c r="CL163" s="57"/>
    </row>
    <row r="164" spans="2:90" ht="18.600000000000001" customHeight="1" x14ac:dyDescent="0.25">
      <c r="B164" s="22"/>
      <c r="C164" s="23"/>
      <c r="D164" s="23"/>
      <c r="E164" s="23"/>
      <c r="F164" s="23"/>
      <c r="G164" s="23"/>
      <c r="H164" s="23" t="s">
        <v>171</v>
      </c>
      <c r="I164" s="23"/>
      <c r="J164" s="23"/>
      <c r="K164" s="23"/>
      <c r="L164" s="23" t="s">
        <v>43</v>
      </c>
      <c r="M164" s="23"/>
      <c r="N164" s="23" t="str">
        <f>TEXT([1]기계경비총괄표!H62,"#,##0.#######")</f>
        <v>2,095.</v>
      </c>
      <c r="O164" s="23"/>
      <c r="P164" s="23"/>
      <c r="Q164" s="23"/>
      <c r="R164" s="23"/>
      <c r="S164" s="23" t="s">
        <v>175</v>
      </c>
      <c r="T164" s="23"/>
      <c r="U164" s="23"/>
      <c r="V164" s="23" t="str">
        <f>TEXT(0.5,"#,##0.#######")</f>
        <v>0.5</v>
      </c>
      <c r="W164" s="23"/>
      <c r="X164" s="23"/>
      <c r="Y164" s="23" t="s">
        <v>176</v>
      </c>
      <c r="Z164" s="23"/>
      <c r="AA164" s="23"/>
      <c r="AB164" s="23" t="s">
        <v>177</v>
      </c>
      <c r="AC164" s="23"/>
      <c r="AD164" s="23"/>
      <c r="AE164" s="23" t="str">
        <f>TEXT(TRUNC(N164*V164,1),"#,##0.#")</f>
        <v>1,047.5</v>
      </c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  <c r="CF164" s="23"/>
      <c r="CG164" s="23"/>
      <c r="CH164" s="24"/>
      <c r="CI164" s="24"/>
      <c r="CJ164" s="25"/>
      <c r="CK164" s="52" t="str">
        <f>AE164</f>
        <v>1,047.5</v>
      </c>
      <c r="CL164" s="56"/>
    </row>
    <row r="165" spans="2:90" ht="18.600000000000001" customHeight="1" x14ac:dyDescent="0.25">
      <c r="B165" s="22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  <c r="CF165" s="23"/>
      <c r="CG165" s="23"/>
      <c r="CH165" s="24"/>
      <c r="CI165" s="24"/>
      <c r="CJ165" s="25"/>
      <c r="CK165" s="25"/>
      <c r="CL165" s="56"/>
    </row>
    <row r="166" spans="2:90" ht="18.600000000000001" customHeight="1" x14ac:dyDescent="0.25">
      <c r="B166" s="22"/>
      <c r="C166" s="23"/>
      <c r="D166" s="23"/>
      <c r="E166" s="23"/>
      <c r="F166" s="23"/>
      <c r="G166" s="23" t="s">
        <v>52</v>
      </c>
      <c r="H166" s="23"/>
      <c r="I166" s="23"/>
      <c r="J166" s="23"/>
      <c r="K166" s="23"/>
      <c r="L166" s="23"/>
      <c r="M166" s="23"/>
      <c r="N166" s="23" t="s">
        <v>121</v>
      </c>
      <c r="O166" s="23"/>
      <c r="P166" s="23" t="str">
        <f>AH153</f>
        <v>89,336.6</v>
      </c>
      <c r="Q166" s="23"/>
      <c r="R166" s="23"/>
      <c r="S166" s="23"/>
      <c r="T166" s="23"/>
      <c r="U166" s="23"/>
      <c r="V166" s="23"/>
      <c r="W166" s="23" t="s">
        <v>97</v>
      </c>
      <c r="X166" s="23"/>
      <c r="Y166" s="23" t="str">
        <f>AH154</f>
        <v>51,167.3</v>
      </c>
      <c r="Z166" s="23"/>
      <c r="AA166" s="23"/>
      <c r="AB166" s="23"/>
      <c r="AC166" s="23"/>
      <c r="AD166" s="23"/>
      <c r="AE166" s="23" t="s">
        <v>45</v>
      </c>
      <c r="AF166" s="23"/>
      <c r="AG166" s="23" t="str">
        <f>AE162</f>
        <v>21,133.5</v>
      </c>
      <c r="AH166" s="23"/>
      <c r="AI166" s="23"/>
      <c r="AJ166" s="23"/>
      <c r="AK166" s="23"/>
      <c r="AL166" s="23"/>
      <c r="AM166" s="23" t="s">
        <v>46</v>
      </c>
      <c r="AN166" s="23"/>
      <c r="AO166" s="23" t="str">
        <f>TEXT(TRUNC(P166+Y166+AG166,1),"#,##0.#")</f>
        <v>161,637.4</v>
      </c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  <c r="CE166" s="23"/>
      <c r="CF166" s="23"/>
      <c r="CG166" s="23"/>
      <c r="CH166" s="27"/>
      <c r="CI166" s="27"/>
      <c r="CJ166" s="28"/>
      <c r="CK166" s="28"/>
      <c r="CL166" s="39"/>
    </row>
    <row r="167" spans="2:90" ht="18.600000000000001" customHeight="1" x14ac:dyDescent="0.25">
      <c r="B167" s="22"/>
      <c r="C167" s="23"/>
      <c r="D167" s="23"/>
      <c r="E167" s="23"/>
      <c r="F167" s="23"/>
      <c r="G167" s="23" t="s">
        <v>178</v>
      </c>
      <c r="H167" s="23"/>
      <c r="I167" s="23"/>
      <c r="J167" s="23"/>
      <c r="K167" s="23"/>
      <c r="L167" s="23"/>
      <c r="M167" s="23"/>
      <c r="N167" s="23" t="s">
        <v>179</v>
      </c>
      <c r="O167" s="23"/>
      <c r="P167" s="23" t="str">
        <f>AL156</f>
        <v>1,405.</v>
      </c>
      <c r="Q167" s="23"/>
      <c r="R167" s="23"/>
      <c r="S167" s="23"/>
      <c r="T167" s="23"/>
      <c r="U167" s="23"/>
      <c r="V167" s="23"/>
      <c r="W167" s="23" t="s">
        <v>180</v>
      </c>
      <c r="X167" s="23"/>
      <c r="Y167" s="23" t="str">
        <f>AE163</f>
        <v>4,469.5</v>
      </c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 t="s">
        <v>46</v>
      </c>
      <c r="AN167" s="23"/>
      <c r="AO167" s="23" t="str">
        <f>TEXT(TRUNC(P167+Y167+AG167,1),"#,##0.#")</f>
        <v>5,874.5</v>
      </c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  <c r="CE167" s="23"/>
      <c r="CF167" s="23"/>
      <c r="CG167" s="23"/>
      <c r="CH167" s="27"/>
      <c r="CI167" s="27"/>
      <c r="CJ167" s="28"/>
      <c r="CK167" s="28"/>
      <c r="CL167" s="39"/>
    </row>
    <row r="168" spans="2:90" ht="18.600000000000001" customHeight="1" x14ac:dyDescent="0.25">
      <c r="B168" s="22"/>
      <c r="C168" s="23"/>
      <c r="D168" s="23"/>
      <c r="E168" s="23"/>
      <c r="F168" s="23"/>
      <c r="G168" s="23" t="s">
        <v>181</v>
      </c>
      <c r="H168" s="23"/>
      <c r="I168" s="23"/>
      <c r="J168" s="23"/>
      <c r="K168" s="23" t="s">
        <v>125</v>
      </c>
      <c r="L168" s="23"/>
      <c r="M168" s="23"/>
      <c r="N168" s="23" t="s">
        <v>121</v>
      </c>
      <c r="O168" s="23"/>
      <c r="P168" s="23" t="str">
        <f>AC160</f>
        <v>417.</v>
      </c>
      <c r="Q168" s="23"/>
      <c r="R168" s="23"/>
      <c r="S168" s="23"/>
      <c r="T168" s="23"/>
      <c r="U168" s="23"/>
      <c r="V168" s="23"/>
      <c r="W168" s="23" t="s">
        <v>45</v>
      </c>
      <c r="X168" s="23"/>
      <c r="Y168" s="23" t="str">
        <f>AE164</f>
        <v>1,047.5</v>
      </c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 t="s">
        <v>46</v>
      </c>
      <c r="AN168" s="23"/>
      <c r="AO168" s="23" t="str">
        <f>TEXT(TRUNC(P168+Y168+AG168,1),"#,##0.#")</f>
        <v>1,464.5</v>
      </c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  <c r="CF168" s="23"/>
      <c r="CG168" s="23"/>
      <c r="CH168" s="27"/>
      <c r="CI168" s="27"/>
      <c r="CJ168" s="28"/>
      <c r="CK168" s="28"/>
      <c r="CL168" s="39"/>
    </row>
    <row r="169" spans="2:90" ht="18.600000000000001" customHeight="1" x14ac:dyDescent="0.25">
      <c r="B169" s="22"/>
      <c r="C169" s="23"/>
      <c r="D169" s="23"/>
      <c r="E169" s="23"/>
      <c r="F169" s="23"/>
      <c r="G169" s="23" t="s">
        <v>65</v>
      </c>
      <c r="H169" s="23"/>
      <c r="I169" s="23"/>
      <c r="J169" s="23"/>
      <c r="K169" s="23" t="s">
        <v>40</v>
      </c>
      <c r="L169" s="23"/>
      <c r="M169" s="23"/>
      <c r="N169" s="23" t="s">
        <v>179</v>
      </c>
      <c r="O169" s="23"/>
      <c r="P169" s="23" t="str">
        <f>TEXT(AO166+AO167+AO168,"#,##0.#######")</f>
        <v>168,976.4</v>
      </c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  <c r="CE169" s="23"/>
      <c r="CF169" s="23"/>
      <c r="CG169" s="23"/>
      <c r="CH169" s="27">
        <f>CI169+CJ169+CK169</f>
        <v>168976.4</v>
      </c>
      <c r="CI169" s="27" t="str">
        <f>AO166</f>
        <v>161,637.4</v>
      </c>
      <c r="CJ169" s="28" t="str">
        <f>AO167</f>
        <v>5,874.5</v>
      </c>
      <c r="CK169" s="28" t="str">
        <f>AO168</f>
        <v>1,464.5</v>
      </c>
      <c r="CL169" s="39"/>
    </row>
    <row r="170" spans="2:90" ht="18.600000000000001" customHeight="1" x14ac:dyDescent="0.25">
      <c r="B170" s="22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  <c r="CE170" s="23"/>
      <c r="CF170" s="23"/>
      <c r="CG170" s="23"/>
      <c r="CH170" s="24"/>
      <c r="CI170" s="24"/>
      <c r="CJ170" s="25"/>
      <c r="CK170" s="25"/>
      <c r="CL170" s="56"/>
    </row>
    <row r="171" spans="2:90" ht="18.600000000000001" customHeight="1" x14ac:dyDescent="0.25">
      <c r="B171" s="46" t="s">
        <v>80</v>
      </c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7"/>
      <c r="CA171" s="47"/>
      <c r="CB171" s="47"/>
      <c r="CC171" s="47"/>
      <c r="CD171" s="47"/>
      <c r="CE171" s="47"/>
      <c r="CF171" s="47"/>
      <c r="CG171" s="47"/>
      <c r="CH171" s="48">
        <f>TRUNC(CI171+CJ171+CK171,0)</f>
        <v>48891</v>
      </c>
      <c r="CI171" s="48">
        <f>TRUNC(CI174+CI179,0)</f>
        <v>34030</v>
      </c>
      <c r="CJ171" s="49">
        <f>TRUNC(CJ175+CJ182,0)</f>
        <v>5289</v>
      </c>
      <c r="CK171" s="49">
        <f>TRUNC(CK176,0)</f>
        <v>9572</v>
      </c>
      <c r="CL171" s="98">
        <v>8215</v>
      </c>
    </row>
    <row r="172" spans="2:90" ht="18.600000000000001" customHeight="1" x14ac:dyDescent="0.25">
      <c r="B172" s="26"/>
      <c r="C172" s="23"/>
      <c r="D172" s="23" t="s">
        <v>94</v>
      </c>
      <c r="E172" s="23"/>
      <c r="F172" s="23"/>
      <c r="G172" s="23" t="s">
        <v>77</v>
      </c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  <c r="CE172" s="23"/>
      <c r="CF172" s="23"/>
      <c r="CG172" s="23"/>
      <c r="CH172" s="27"/>
      <c r="CI172" s="27"/>
      <c r="CJ172" s="28"/>
      <c r="CK172" s="28"/>
      <c r="CL172" s="39" t="s">
        <v>89</v>
      </c>
    </row>
    <row r="173" spans="2:90" ht="18.600000000000001" customHeight="1" x14ac:dyDescent="0.25">
      <c r="B173" s="26"/>
      <c r="C173" s="23"/>
      <c r="D173" s="23"/>
      <c r="E173" s="23"/>
      <c r="F173" s="23"/>
      <c r="G173" s="23" t="s">
        <v>182</v>
      </c>
      <c r="H173" s="23"/>
      <c r="I173" s="23"/>
      <c r="J173" s="23"/>
      <c r="K173" s="23" t="str">
        <f>TEXT(1.75,"#,##0.#######")</f>
        <v>1.75</v>
      </c>
      <c r="L173" s="23"/>
      <c r="M173" s="23"/>
      <c r="N173" s="23" t="s">
        <v>183</v>
      </c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34"/>
      <c r="AE173" s="34"/>
      <c r="AF173" s="34"/>
      <c r="AG173" s="34"/>
      <c r="AH173" s="34"/>
      <c r="AI173" s="34"/>
      <c r="AJ173" s="34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  <c r="CA173" s="23"/>
      <c r="CB173" s="23"/>
      <c r="CC173" s="23"/>
      <c r="CD173" s="23"/>
      <c r="CE173" s="23"/>
      <c r="CF173" s="23"/>
      <c r="CG173" s="23"/>
      <c r="CH173" s="27"/>
      <c r="CI173" s="27"/>
      <c r="CJ173" s="28"/>
      <c r="CK173" s="28"/>
      <c r="CL173" s="39"/>
    </row>
    <row r="174" spans="2:90" ht="18.600000000000001" customHeight="1" x14ac:dyDescent="0.25">
      <c r="B174" s="26"/>
      <c r="C174" s="23"/>
      <c r="D174" s="23"/>
      <c r="E174" s="23"/>
      <c r="F174" s="23"/>
      <c r="G174" s="23"/>
      <c r="H174" s="23" t="s">
        <v>120</v>
      </c>
      <c r="I174" s="23"/>
      <c r="J174" s="23"/>
      <c r="K174" s="23"/>
      <c r="L174" s="23"/>
      <c r="M174" s="23" t="s">
        <v>121</v>
      </c>
      <c r="N174" s="23" t="str">
        <f>TEXT([1]기계경비총괄표!G10,"#,##0.#######")</f>
        <v>42,267.</v>
      </c>
      <c r="O174" s="23"/>
      <c r="P174" s="23"/>
      <c r="Q174" s="23"/>
      <c r="R174" s="23"/>
      <c r="S174" s="23"/>
      <c r="T174" s="23"/>
      <c r="U174" s="23" t="s">
        <v>122</v>
      </c>
      <c r="V174" s="23"/>
      <c r="W174" s="23"/>
      <c r="X174" s="23" t="str">
        <f>TEXT(K173,"#,##0.#######")</f>
        <v>1.75</v>
      </c>
      <c r="Y174" s="23"/>
      <c r="Z174" s="23"/>
      <c r="AA174" s="23" t="s">
        <v>184</v>
      </c>
      <c r="AB174" s="23"/>
      <c r="AC174" s="23"/>
      <c r="AD174" s="23" t="str">
        <f>TEXT(TRUNC(N174/X174,1),"#,##0.#")</f>
        <v>24,152.5</v>
      </c>
      <c r="AE174" s="23"/>
      <c r="AF174" s="23"/>
      <c r="AG174" s="23"/>
      <c r="AH174" s="23"/>
      <c r="AI174" s="23"/>
      <c r="AJ174" s="23" t="s">
        <v>185</v>
      </c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  <c r="CA174" s="23"/>
      <c r="CB174" s="23"/>
      <c r="CC174" s="23"/>
      <c r="CD174" s="23"/>
      <c r="CE174" s="23"/>
      <c r="CF174" s="23"/>
      <c r="CG174" s="23"/>
      <c r="CH174" s="27"/>
      <c r="CI174" s="27" t="str">
        <f>AD174</f>
        <v>24,152.5</v>
      </c>
      <c r="CJ174" s="28"/>
      <c r="CK174" s="28"/>
      <c r="CL174" s="39"/>
    </row>
    <row r="175" spans="2:90" ht="18.600000000000001" customHeight="1" x14ac:dyDescent="0.25">
      <c r="B175" s="26"/>
      <c r="C175" s="23"/>
      <c r="D175" s="23"/>
      <c r="E175" s="23"/>
      <c r="F175" s="23"/>
      <c r="G175" s="23"/>
      <c r="H175" s="23" t="s">
        <v>178</v>
      </c>
      <c r="I175" s="23"/>
      <c r="J175" s="23"/>
      <c r="K175" s="23"/>
      <c r="L175" s="23"/>
      <c r="M175" s="23" t="s">
        <v>179</v>
      </c>
      <c r="N175" s="23" t="str">
        <f>TEXT([1]기계경비총괄표!F10,"#,##0.#######")</f>
        <v>8,631.3</v>
      </c>
      <c r="O175" s="23"/>
      <c r="P175" s="23"/>
      <c r="Q175" s="23"/>
      <c r="R175" s="23"/>
      <c r="S175" s="23"/>
      <c r="T175" s="23"/>
      <c r="U175" s="23" t="s">
        <v>186</v>
      </c>
      <c r="V175" s="23"/>
      <c r="W175" s="23"/>
      <c r="X175" s="23" t="str">
        <f>TEXT(K173,"#,##0.#######")</f>
        <v>1.75</v>
      </c>
      <c r="Y175" s="23"/>
      <c r="Z175" s="23"/>
      <c r="AA175" s="23" t="s">
        <v>177</v>
      </c>
      <c r="AB175" s="23"/>
      <c r="AC175" s="23"/>
      <c r="AD175" s="23" t="str">
        <f>TEXT(TRUNC(N175/X175,1),"#,##0.#")</f>
        <v>4,932.1</v>
      </c>
      <c r="AE175" s="23"/>
      <c r="AF175" s="23"/>
      <c r="AG175" s="23"/>
      <c r="AH175" s="23"/>
      <c r="AI175" s="23"/>
      <c r="AJ175" s="23" t="s">
        <v>187</v>
      </c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  <c r="CA175" s="23"/>
      <c r="CB175" s="23"/>
      <c r="CC175" s="23"/>
      <c r="CD175" s="23"/>
      <c r="CE175" s="23"/>
      <c r="CF175" s="23"/>
      <c r="CG175" s="23"/>
      <c r="CH175" s="27"/>
      <c r="CI175" s="27"/>
      <c r="CJ175" s="28" t="str">
        <f>AD175</f>
        <v>4,932.1</v>
      </c>
      <c r="CK175" s="28"/>
      <c r="CL175" s="39"/>
    </row>
    <row r="176" spans="2:90" ht="18.600000000000001" customHeight="1" x14ac:dyDescent="0.25">
      <c r="B176" s="26"/>
      <c r="C176" s="23"/>
      <c r="D176" s="23"/>
      <c r="E176" s="23"/>
      <c r="F176" s="23"/>
      <c r="G176" s="23"/>
      <c r="H176" s="23" t="s">
        <v>188</v>
      </c>
      <c r="I176" s="23"/>
      <c r="J176" s="23"/>
      <c r="K176" s="23"/>
      <c r="L176" s="23" t="s">
        <v>174</v>
      </c>
      <c r="M176" s="23"/>
      <c r="N176" s="23" t="str">
        <f>TEXT([1]기계경비총괄표!H10,"#,##0.#######")</f>
        <v>16,751.7</v>
      </c>
      <c r="O176" s="23"/>
      <c r="P176" s="23"/>
      <c r="Q176" s="23"/>
      <c r="R176" s="23"/>
      <c r="S176" s="23"/>
      <c r="T176" s="23"/>
      <c r="U176" s="23" t="s">
        <v>189</v>
      </c>
      <c r="V176" s="23"/>
      <c r="W176" s="23"/>
      <c r="X176" s="23" t="str">
        <f>TEXT(K173,"#,##0.#######")</f>
        <v>1.75</v>
      </c>
      <c r="Y176" s="23"/>
      <c r="Z176" s="23"/>
      <c r="AA176" s="23" t="s">
        <v>46</v>
      </c>
      <c r="AB176" s="23"/>
      <c r="AC176" s="23"/>
      <c r="AD176" s="23" t="str">
        <f>TEXT(TRUNC(N176/X176,1),"#,##0.#")</f>
        <v>9,572.4</v>
      </c>
      <c r="AE176" s="23"/>
      <c r="AF176" s="23"/>
      <c r="AG176" s="23"/>
      <c r="AH176" s="23"/>
      <c r="AI176" s="23"/>
      <c r="AJ176" s="23" t="s">
        <v>66</v>
      </c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  <c r="CA176" s="23"/>
      <c r="CB176" s="23"/>
      <c r="CC176" s="23"/>
      <c r="CD176" s="23"/>
      <c r="CE176" s="23"/>
      <c r="CF176" s="23"/>
      <c r="CG176" s="23"/>
      <c r="CH176" s="27"/>
      <c r="CI176" s="27"/>
      <c r="CJ176" s="28"/>
      <c r="CK176" s="28" t="str">
        <f>AD176</f>
        <v>9,572.4</v>
      </c>
      <c r="CL176" s="39"/>
    </row>
    <row r="177" spans="2:90" ht="18.600000000000001" customHeight="1" x14ac:dyDescent="0.25">
      <c r="B177" s="26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  <c r="CA177" s="23"/>
      <c r="CB177" s="23"/>
      <c r="CC177" s="23"/>
      <c r="CD177" s="23"/>
      <c r="CE177" s="23"/>
      <c r="CF177" s="23"/>
      <c r="CG177" s="23"/>
      <c r="CH177" s="27"/>
      <c r="CI177" s="27"/>
      <c r="CJ177" s="28"/>
      <c r="CK177" s="28"/>
      <c r="CL177" s="39"/>
    </row>
    <row r="178" spans="2:90" ht="18.600000000000001" customHeight="1" x14ac:dyDescent="0.25">
      <c r="B178" s="26"/>
      <c r="C178" s="23"/>
      <c r="D178" s="23" t="s">
        <v>49</v>
      </c>
      <c r="E178" s="23"/>
      <c r="F178" s="23"/>
      <c r="G178" s="23" t="s">
        <v>70</v>
      </c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  <c r="CA178" s="23"/>
      <c r="CB178" s="23"/>
      <c r="CC178" s="23"/>
      <c r="CD178" s="23"/>
      <c r="CE178" s="23"/>
      <c r="CF178" s="23"/>
      <c r="CG178" s="23"/>
      <c r="CH178" s="27"/>
      <c r="CI178" s="27"/>
      <c r="CJ178" s="28"/>
      <c r="CK178" s="28"/>
      <c r="CL178" s="39"/>
    </row>
    <row r="179" spans="2:90" ht="18.600000000000001" customHeight="1" x14ac:dyDescent="0.25">
      <c r="B179" s="26"/>
      <c r="C179" s="23"/>
      <c r="D179" s="29"/>
      <c r="E179" s="23"/>
      <c r="F179" s="23"/>
      <c r="G179" s="23"/>
      <c r="H179" s="23" t="s">
        <v>71</v>
      </c>
      <c r="I179" s="23"/>
      <c r="J179" s="23"/>
      <c r="K179" s="23"/>
      <c r="L179" s="23"/>
      <c r="M179" s="23"/>
      <c r="N179" s="23"/>
      <c r="O179" s="23"/>
      <c r="P179" s="23" t="str">
        <f>TEXT([1]노임및중기단가!I8,"#,##0.#######")</f>
        <v>138,290.</v>
      </c>
      <c r="Q179" s="23"/>
      <c r="R179" s="23"/>
      <c r="S179" s="23"/>
      <c r="T179" s="23"/>
      <c r="U179" s="23"/>
      <c r="V179" s="23"/>
      <c r="W179" s="23" t="s">
        <v>48</v>
      </c>
      <c r="X179" s="23"/>
      <c r="Y179" s="23"/>
      <c r="Z179" s="23" t="str">
        <f>TEXT(1,"#,##0.#######")</f>
        <v>1.</v>
      </c>
      <c r="AA179" s="23"/>
      <c r="AB179" s="23" t="s">
        <v>44</v>
      </c>
      <c r="AC179" s="23"/>
      <c r="AD179" s="23"/>
      <c r="AE179" s="23" t="s">
        <v>47</v>
      </c>
      <c r="AF179" s="23"/>
      <c r="AG179" s="23" t="s">
        <v>41</v>
      </c>
      <c r="AH179" s="23" t="str">
        <f>TEXT(8,"#,##0.#######")</f>
        <v>8.</v>
      </c>
      <c r="AI179" s="23"/>
      <c r="AJ179" s="23" t="s">
        <v>50</v>
      </c>
      <c r="AK179" s="23"/>
      <c r="AL179" s="23"/>
      <c r="AM179" s="23" t="s">
        <v>48</v>
      </c>
      <c r="AN179" s="23"/>
      <c r="AO179" s="23"/>
      <c r="AP179" s="23" t="str">
        <f>TEXT(K173,"#,##0.#######")</f>
        <v>1.75</v>
      </c>
      <c r="AQ179" s="23"/>
      <c r="AR179" s="23"/>
      <c r="AS179" s="23" t="s">
        <v>42</v>
      </c>
      <c r="AT179" s="23"/>
      <c r="AU179" s="23"/>
      <c r="AV179" s="23"/>
      <c r="AW179" s="23" t="s">
        <v>46</v>
      </c>
      <c r="AX179" s="23"/>
      <c r="AY179" s="23"/>
      <c r="AZ179" s="23" t="str">
        <f>TEXT(TRUNC(P179*Z179/(AH179*AP179),1),"#,##0.#")</f>
        <v>9,877.8</v>
      </c>
      <c r="BA179" s="23"/>
      <c r="BB179" s="23"/>
      <c r="BC179" s="23"/>
      <c r="BD179" s="23"/>
      <c r="BE179" s="23"/>
      <c r="BF179" s="23" t="s">
        <v>66</v>
      </c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  <c r="CA179" s="23"/>
      <c r="CB179" s="23"/>
      <c r="CC179" s="23"/>
      <c r="CD179" s="23"/>
      <c r="CE179" s="23"/>
      <c r="CF179" s="23"/>
      <c r="CG179" s="23"/>
      <c r="CH179" s="27"/>
      <c r="CI179" s="27" t="str">
        <f>AZ179</f>
        <v>9,877.8</v>
      </c>
      <c r="CJ179" s="28"/>
      <c r="CK179" s="28"/>
      <c r="CL179" s="39"/>
    </row>
    <row r="180" spans="2:90" ht="18.600000000000001" customHeight="1" x14ac:dyDescent="0.25">
      <c r="B180" s="26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27"/>
      <c r="CI180" s="27"/>
      <c r="CJ180" s="28"/>
      <c r="CK180" s="28"/>
      <c r="CL180" s="57"/>
    </row>
    <row r="181" spans="2:90" ht="18.600000000000001" customHeight="1" x14ac:dyDescent="0.25">
      <c r="B181" s="26"/>
      <c r="C181" s="23"/>
      <c r="D181" s="23" t="s">
        <v>51</v>
      </c>
      <c r="E181" s="23"/>
      <c r="F181" s="23"/>
      <c r="G181" s="23" t="s">
        <v>76</v>
      </c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27"/>
      <c r="CI181" s="27"/>
      <c r="CJ181" s="28"/>
      <c r="CK181" s="28"/>
      <c r="CL181" s="57"/>
    </row>
    <row r="182" spans="2:90" ht="18.600000000000001" customHeight="1" x14ac:dyDescent="0.25">
      <c r="B182" s="26"/>
      <c r="C182" s="23"/>
      <c r="D182" s="23"/>
      <c r="E182" s="23"/>
      <c r="F182" s="23"/>
      <c r="G182" s="23"/>
      <c r="H182" s="23" t="str">
        <f>TEXT(0.008,"#,##0.#######")</f>
        <v>0.008</v>
      </c>
      <c r="I182" s="23"/>
      <c r="J182" s="23"/>
      <c r="K182" s="23"/>
      <c r="L182" s="23" t="s">
        <v>72</v>
      </c>
      <c r="M182" s="23"/>
      <c r="N182" s="23"/>
      <c r="O182" s="29"/>
      <c r="P182" s="29"/>
      <c r="Q182" s="23" t="s">
        <v>48</v>
      </c>
      <c r="R182" s="23"/>
      <c r="S182" s="23"/>
      <c r="T182" s="23" t="str">
        <f>TEXT([1]자재단가!M85,"#,##0.#######")</f>
        <v>78,100.</v>
      </c>
      <c r="U182" s="23"/>
      <c r="V182" s="23"/>
      <c r="W182" s="23"/>
      <c r="X182" s="23"/>
      <c r="Y182" s="23"/>
      <c r="Z182" s="23"/>
      <c r="AA182" s="23" t="s">
        <v>73</v>
      </c>
      <c r="AB182" s="29"/>
      <c r="AC182" s="29"/>
      <c r="AD182" s="29"/>
      <c r="AE182" s="29"/>
      <c r="AF182" s="23" t="s">
        <v>47</v>
      </c>
      <c r="AG182" s="23"/>
      <c r="AH182" s="23"/>
      <c r="AI182" s="23" t="str">
        <f>TEXT(K173,"#,##0.#######")</f>
        <v>1.75</v>
      </c>
      <c r="AJ182" s="23"/>
      <c r="AK182" s="23"/>
      <c r="AL182" s="23"/>
      <c r="AM182" s="23" t="s">
        <v>69</v>
      </c>
      <c r="AN182" s="23"/>
      <c r="AO182" s="23"/>
      <c r="AP182" s="23"/>
      <c r="AQ182" s="23"/>
      <c r="AR182" s="23"/>
      <c r="AS182" s="23" t="s">
        <v>46</v>
      </c>
      <c r="AT182" s="23"/>
      <c r="AU182" s="23"/>
      <c r="AV182" s="23" t="str">
        <f>TEXT(TRUNC(H182*T182/AI182,1),"#,##0.#")</f>
        <v>357.</v>
      </c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27"/>
      <c r="CI182" s="27"/>
      <c r="CJ182" s="28" t="str">
        <f>AV182</f>
        <v>357.</v>
      </c>
      <c r="CK182" s="28"/>
      <c r="CL182" s="57"/>
    </row>
    <row r="183" spans="2:90" ht="18.600000000000001" customHeight="1" x14ac:dyDescent="0.25">
      <c r="B183" s="26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27"/>
      <c r="CI183" s="27"/>
      <c r="CJ183" s="28"/>
      <c r="CK183" s="28"/>
      <c r="CL183" s="57"/>
    </row>
    <row r="184" spans="2:90" ht="18.600000000000001" customHeight="1" x14ac:dyDescent="0.25">
      <c r="B184" s="22"/>
      <c r="C184" s="23"/>
      <c r="D184" s="23"/>
      <c r="E184" s="23"/>
      <c r="F184" s="23"/>
      <c r="G184" s="23" t="s">
        <v>120</v>
      </c>
      <c r="H184" s="23"/>
      <c r="I184" s="23"/>
      <c r="J184" s="23"/>
      <c r="K184" s="23"/>
      <c r="L184" s="23"/>
      <c r="M184" s="23"/>
      <c r="N184" s="23" t="s">
        <v>121</v>
      </c>
      <c r="O184" s="23"/>
      <c r="P184" s="23" t="str">
        <f>AD174</f>
        <v>24,152.5</v>
      </c>
      <c r="Q184" s="23"/>
      <c r="R184" s="23"/>
      <c r="S184" s="23"/>
      <c r="T184" s="23"/>
      <c r="U184" s="23"/>
      <c r="V184" s="23"/>
      <c r="W184" s="23" t="s">
        <v>97</v>
      </c>
      <c r="X184" s="23"/>
      <c r="Y184" s="23" t="str">
        <f>AZ179</f>
        <v>9,877.8</v>
      </c>
      <c r="Z184" s="23"/>
      <c r="AA184" s="23"/>
      <c r="AB184" s="23"/>
      <c r="AC184" s="23"/>
      <c r="AD184" s="23"/>
      <c r="AE184" s="23"/>
      <c r="AF184" s="23"/>
      <c r="AG184" s="23">
        <f>AE180</f>
        <v>0</v>
      </c>
      <c r="AH184" s="23"/>
      <c r="AI184" s="23"/>
      <c r="AJ184" s="23"/>
      <c r="AK184" s="23"/>
      <c r="AL184" s="23"/>
      <c r="AM184" s="23" t="s">
        <v>103</v>
      </c>
      <c r="AN184" s="23"/>
      <c r="AO184" s="23" t="str">
        <f>TEXT(TRUNC(P184+Y184,1),"#,##0.#")</f>
        <v>34,030.3</v>
      </c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  <c r="CA184" s="23"/>
      <c r="CB184" s="23"/>
      <c r="CC184" s="23"/>
      <c r="CD184" s="23"/>
      <c r="CE184" s="23"/>
      <c r="CF184" s="23"/>
      <c r="CG184" s="23"/>
      <c r="CH184" s="24"/>
      <c r="CI184" s="24"/>
      <c r="CJ184" s="25"/>
      <c r="CK184" s="52"/>
      <c r="CL184" s="56"/>
    </row>
    <row r="185" spans="2:90" ht="18.600000000000001" customHeight="1" x14ac:dyDescent="0.25">
      <c r="B185" s="22"/>
      <c r="C185" s="23"/>
      <c r="D185" s="23"/>
      <c r="E185" s="23"/>
      <c r="F185" s="23"/>
      <c r="G185" s="23" t="s">
        <v>123</v>
      </c>
      <c r="H185" s="23"/>
      <c r="I185" s="23"/>
      <c r="J185" s="23"/>
      <c r="K185" s="23"/>
      <c r="L185" s="23"/>
      <c r="M185" s="23"/>
      <c r="N185" s="23" t="s">
        <v>121</v>
      </c>
      <c r="O185" s="23"/>
      <c r="P185" s="23" t="str">
        <f>AD175</f>
        <v>4,932.1</v>
      </c>
      <c r="Q185" s="23"/>
      <c r="R185" s="23"/>
      <c r="S185" s="23"/>
      <c r="T185" s="23"/>
      <c r="U185" s="23"/>
      <c r="V185" s="23"/>
      <c r="W185" s="23" t="s">
        <v>97</v>
      </c>
      <c r="X185" s="23"/>
      <c r="Y185" s="23" t="str">
        <f>AV182</f>
        <v>357.</v>
      </c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 t="s">
        <v>177</v>
      </c>
      <c r="AN185" s="23"/>
      <c r="AO185" s="23" t="str">
        <f>TEXT(TRUNC(P185+Y185,1),"#,##0.#")</f>
        <v>5,289.1</v>
      </c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  <c r="CA185" s="23"/>
      <c r="CB185" s="23"/>
      <c r="CC185" s="23"/>
      <c r="CD185" s="23"/>
      <c r="CE185" s="23"/>
      <c r="CF185" s="23"/>
      <c r="CG185" s="23"/>
      <c r="CH185" s="24"/>
      <c r="CI185" s="24"/>
      <c r="CJ185" s="25"/>
      <c r="CK185" s="25"/>
      <c r="CL185" s="56"/>
    </row>
    <row r="186" spans="2:90" ht="18.600000000000001" customHeight="1" x14ac:dyDescent="0.25">
      <c r="B186" s="22"/>
      <c r="C186" s="23"/>
      <c r="D186" s="23"/>
      <c r="E186" s="23"/>
      <c r="F186" s="23"/>
      <c r="G186" s="23" t="s">
        <v>190</v>
      </c>
      <c r="H186" s="23"/>
      <c r="I186" s="23"/>
      <c r="J186" s="23"/>
      <c r="K186" s="23" t="s">
        <v>191</v>
      </c>
      <c r="L186" s="23"/>
      <c r="M186" s="23"/>
      <c r="N186" s="23" t="s">
        <v>174</v>
      </c>
      <c r="O186" s="23"/>
      <c r="P186" s="23" t="str">
        <f>AD176</f>
        <v>9,572.4</v>
      </c>
      <c r="Q186" s="23"/>
      <c r="R186" s="23"/>
      <c r="S186" s="23"/>
      <c r="T186" s="23"/>
      <c r="U186" s="23"/>
      <c r="V186" s="23"/>
      <c r="W186" s="23"/>
      <c r="X186" s="23"/>
      <c r="Y186" s="23">
        <f>AE182</f>
        <v>0</v>
      </c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 t="s">
        <v>177</v>
      </c>
      <c r="AN186" s="23"/>
      <c r="AO186" s="23" t="str">
        <f>TEXT(TRUNC(P186,1),"#,##0.#")</f>
        <v>9,572.4</v>
      </c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  <c r="CA186" s="23"/>
      <c r="CB186" s="23"/>
      <c r="CC186" s="23"/>
      <c r="CD186" s="23"/>
      <c r="CE186" s="23"/>
      <c r="CF186" s="23"/>
      <c r="CG186" s="23"/>
      <c r="CH186" s="27"/>
      <c r="CI186" s="27"/>
      <c r="CJ186" s="28"/>
      <c r="CK186" s="28"/>
      <c r="CL186" s="39"/>
    </row>
    <row r="187" spans="2:90" ht="18.600000000000001" customHeight="1" x14ac:dyDescent="0.25">
      <c r="B187" s="22"/>
      <c r="C187" s="23"/>
      <c r="D187" s="23"/>
      <c r="E187" s="23"/>
      <c r="F187" s="23"/>
      <c r="G187" s="23" t="s">
        <v>192</v>
      </c>
      <c r="H187" s="23"/>
      <c r="I187" s="23"/>
      <c r="J187" s="23"/>
      <c r="K187" s="23" t="s">
        <v>193</v>
      </c>
      <c r="L187" s="23"/>
      <c r="M187" s="23"/>
      <c r="N187" s="23" t="s">
        <v>174</v>
      </c>
      <c r="O187" s="23"/>
      <c r="P187" s="23" t="str">
        <f>TEXT(AO184+AO185+AO186,"#,##0.#######")</f>
        <v>48,891.8</v>
      </c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  <c r="CA187" s="23"/>
      <c r="CB187" s="23"/>
      <c r="CC187" s="23"/>
      <c r="CD187" s="23"/>
      <c r="CE187" s="23"/>
      <c r="CF187" s="23"/>
      <c r="CG187" s="23"/>
      <c r="CH187" s="27">
        <f>CI187+CJ187+CK187</f>
        <v>48891.8</v>
      </c>
      <c r="CI187" s="27" t="str">
        <f>AO184</f>
        <v>34,030.3</v>
      </c>
      <c r="CJ187" s="28" t="str">
        <f>AO185</f>
        <v>5,289.1</v>
      </c>
      <c r="CK187" s="28" t="str">
        <f>AO186</f>
        <v>9,572.4</v>
      </c>
      <c r="CL187" s="39"/>
    </row>
    <row r="188" spans="2:90" ht="18.600000000000001" customHeight="1" x14ac:dyDescent="0.25">
      <c r="B188" s="22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  <c r="CA188" s="23"/>
      <c r="CB188" s="23"/>
      <c r="CC188" s="23"/>
      <c r="CD188" s="23"/>
      <c r="CE188" s="23"/>
      <c r="CF188" s="23"/>
      <c r="CG188" s="23"/>
      <c r="CH188" s="24"/>
      <c r="CI188" s="24"/>
      <c r="CJ188" s="25"/>
      <c r="CK188" s="25"/>
      <c r="CL188" s="56"/>
    </row>
    <row r="189" spans="2:90" ht="18.600000000000001" customHeight="1" x14ac:dyDescent="0.25">
      <c r="B189" s="46" t="s">
        <v>194</v>
      </c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  <c r="AT189" s="47"/>
      <c r="AU189" s="47"/>
      <c r="AV189" s="47"/>
      <c r="AW189" s="47"/>
      <c r="AX189" s="47"/>
      <c r="AY189" s="47"/>
      <c r="AZ189" s="47"/>
      <c r="BA189" s="47"/>
      <c r="BB189" s="47"/>
      <c r="BC189" s="47"/>
      <c r="BD189" s="47"/>
      <c r="BE189" s="47"/>
      <c r="BF189" s="47"/>
      <c r="BG189" s="47"/>
      <c r="BH189" s="47"/>
      <c r="BI189" s="47"/>
      <c r="BJ189" s="47"/>
      <c r="BK189" s="47"/>
      <c r="BL189" s="47"/>
      <c r="BM189" s="47"/>
      <c r="BN189" s="47"/>
      <c r="BO189" s="47"/>
      <c r="BP189" s="47"/>
      <c r="BQ189" s="47"/>
      <c r="BR189" s="47"/>
      <c r="BS189" s="47"/>
      <c r="BT189" s="47"/>
      <c r="BU189" s="47"/>
      <c r="BV189" s="47"/>
      <c r="BW189" s="47"/>
      <c r="BX189" s="47"/>
      <c r="BY189" s="47"/>
      <c r="BZ189" s="47"/>
      <c r="CA189" s="47"/>
      <c r="CB189" s="47"/>
      <c r="CC189" s="47"/>
      <c r="CD189" s="47"/>
      <c r="CE189" s="47"/>
      <c r="CF189" s="47"/>
      <c r="CG189" s="47"/>
      <c r="CH189" s="48">
        <f>TRUNC(CI189+CJ189+CK189,0)</f>
        <v>47211</v>
      </c>
      <c r="CI189" s="48">
        <f>TRUNC(CI192+CI197,0)</f>
        <v>34030</v>
      </c>
      <c r="CJ189" s="49">
        <f>TRUNC(CJ193+CJ200,0)</f>
        <v>4654</v>
      </c>
      <c r="CK189" s="49">
        <f>TRUNC(CK194,0)</f>
        <v>8527</v>
      </c>
      <c r="CL189" s="98">
        <v>8215</v>
      </c>
    </row>
    <row r="190" spans="2:90" ht="18.600000000000001" customHeight="1" x14ac:dyDescent="0.25">
      <c r="B190" s="26"/>
      <c r="C190" s="23"/>
      <c r="D190" s="23" t="s">
        <v>94</v>
      </c>
      <c r="E190" s="23"/>
      <c r="F190" s="23"/>
      <c r="G190" s="23" t="s">
        <v>195</v>
      </c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  <c r="CE190" s="23"/>
      <c r="CF190" s="23"/>
      <c r="CG190" s="23"/>
      <c r="CH190" s="27"/>
      <c r="CI190" s="27"/>
      <c r="CJ190" s="28"/>
      <c r="CK190" s="28"/>
      <c r="CL190" s="39" t="s">
        <v>196</v>
      </c>
    </row>
    <row r="191" spans="2:90" ht="18.600000000000001" customHeight="1" x14ac:dyDescent="0.25">
      <c r="B191" s="26"/>
      <c r="C191" s="23"/>
      <c r="D191" s="23"/>
      <c r="E191" s="23"/>
      <c r="F191" s="23"/>
      <c r="G191" s="23" t="s">
        <v>197</v>
      </c>
      <c r="H191" s="23"/>
      <c r="I191" s="23"/>
      <c r="J191" s="23"/>
      <c r="K191" s="23" t="str">
        <f>TEXT(1.75,"#,##0.#######")</f>
        <v>1.75</v>
      </c>
      <c r="L191" s="23"/>
      <c r="M191" s="23"/>
      <c r="N191" s="23" t="s">
        <v>198</v>
      </c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34"/>
      <c r="AE191" s="34"/>
      <c r="AF191" s="34"/>
      <c r="AG191" s="34"/>
      <c r="AH191" s="34"/>
      <c r="AI191" s="34"/>
      <c r="AJ191" s="34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  <c r="CA191" s="23"/>
      <c r="CB191" s="23"/>
      <c r="CC191" s="23"/>
      <c r="CD191" s="23"/>
      <c r="CE191" s="23"/>
      <c r="CF191" s="23"/>
      <c r="CG191" s="23"/>
      <c r="CH191" s="27"/>
      <c r="CI191" s="27"/>
      <c r="CJ191" s="28"/>
      <c r="CK191" s="28"/>
      <c r="CL191" s="39"/>
    </row>
    <row r="192" spans="2:90" ht="18.600000000000001" customHeight="1" x14ac:dyDescent="0.25">
      <c r="B192" s="26"/>
      <c r="C192" s="23"/>
      <c r="D192" s="23"/>
      <c r="E192" s="23"/>
      <c r="F192" s="23"/>
      <c r="G192" s="23"/>
      <c r="H192" s="23" t="s">
        <v>199</v>
      </c>
      <c r="I192" s="23"/>
      <c r="J192" s="23"/>
      <c r="K192" s="23"/>
      <c r="L192" s="23"/>
      <c r="M192" s="23" t="s">
        <v>174</v>
      </c>
      <c r="N192" s="23" t="str">
        <f>TEXT([1]기계경비총괄표!G12,"#,##0.#######")</f>
        <v>42,267.</v>
      </c>
      <c r="O192" s="23"/>
      <c r="P192" s="23"/>
      <c r="Q192" s="23"/>
      <c r="R192" s="23"/>
      <c r="S192" s="23"/>
      <c r="T192" s="23"/>
      <c r="U192" s="23" t="s">
        <v>189</v>
      </c>
      <c r="V192" s="23"/>
      <c r="W192" s="23"/>
      <c r="X192" s="23" t="str">
        <f>TEXT(K191,"#,##0.#######")</f>
        <v>1.75</v>
      </c>
      <c r="Y192" s="23"/>
      <c r="Z192" s="23"/>
      <c r="AA192" s="23" t="s">
        <v>46</v>
      </c>
      <c r="AB192" s="23"/>
      <c r="AC192" s="23"/>
      <c r="AD192" s="23" t="str">
        <f>TEXT(TRUNC(N192/X192,1),"#,##0.#")</f>
        <v>24,152.5</v>
      </c>
      <c r="AE192" s="23"/>
      <c r="AF192" s="23"/>
      <c r="AG192" s="23"/>
      <c r="AH192" s="23"/>
      <c r="AI192" s="23"/>
      <c r="AJ192" s="23" t="s">
        <v>66</v>
      </c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  <c r="CA192" s="23"/>
      <c r="CB192" s="23"/>
      <c r="CC192" s="23"/>
      <c r="CD192" s="23"/>
      <c r="CE192" s="23"/>
      <c r="CF192" s="23"/>
      <c r="CG192" s="23"/>
      <c r="CH192" s="27"/>
      <c r="CI192" s="27" t="str">
        <f>AD192</f>
        <v>24,152.5</v>
      </c>
      <c r="CJ192" s="28"/>
      <c r="CK192" s="28"/>
      <c r="CL192" s="39"/>
    </row>
    <row r="193" spans="2:90" ht="18.600000000000001" customHeight="1" x14ac:dyDescent="0.25">
      <c r="B193" s="26"/>
      <c r="C193" s="23"/>
      <c r="D193" s="23"/>
      <c r="E193" s="23"/>
      <c r="F193" s="23"/>
      <c r="G193" s="23"/>
      <c r="H193" s="23" t="s">
        <v>53</v>
      </c>
      <c r="I193" s="23"/>
      <c r="J193" s="23"/>
      <c r="K193" s="23"/>
      <c r="L193" s="23"/>
      <c r="M193" s="23" t="s">
        <v>43</v>
      </c>
      <c r="N193" s="23" t="str">
        <f>TEXT([1]기계경비총괄표!F12,"#,##0.#######")</f>
        <v>7,520.1</v>
      </c>
      <c r="O193" s="23"/>
      <c r="P193" s="23"/>
      <c r="Q193" s="23"/>
      <c r="R193" s="23"/>
      <c r="S193" s="23"/>
      <c r="T193" s="23"/>
      <c r="U193" s="23" t="s">
        <v>47</v>
      </c>
      <c r="V193" s="23"/>
      <c r="W193" s="23"/>
      <c r="X193" s="23" t="str">
        <f>TEXT(K191,"#,##0.#######")</f>
        <v>1.75</v>
      </c>
      <c r="Y193" s="23"/>
      <c r="Z193" s="23"/>
      <c r="AA193" s="23" t="s">
        <v>184</v>
      </c>
      <c r="AB193" s="23"/>
      <c r="AC193" s="23"/>
      <c r="AD193" s="23" t="str">
        <f>TEXT(TRUNC(N193/X193,1),"#,##0.#")</f>
        <v>4,297.2</v>
      </c>
      <c r="AE193" s="23"/>
      <c r="AF193" s="23"/>
      <c r="AG193" s="23"/>
      <c r="AH193" s="23"/>
      <c r="AI193" s="23"/>
      <c r="AJ193" s="23" t="s">
        <v>185</v>
      </c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  <c r="CA193" s="23"/>
      <c r="CB193" s="23"/>
      <c r="CC193" s="23"/>
      <c r="CD193" s="23"/>
      <c r="CE193" s="23"/>
      <c r="CF193" s="23"/>
      <c r="CG193" s="23"/>
      <c r="CH193" s="27"/>
      <c r="CI193" s="27"/>
      <c r="CJ193" s="28" t="str">
        <f>AD193</f>
        <v>4,297.2</v>
      </c>
      <c r="CK193" s="28"/>
      <c r="CL193" s="39"/>
    </row>
    <row r="194" spans="2:90" ht="18.600000000000001" customHeight="1" x14ac:dyDescent="0.25">
      <c r="B194" s="26"/>
      <c r="C194" s="23"/>
      <c r="D194" s="23"/>
      <c r="E194" s="23"/>
      <c r="F194" s="23"/>
      <c r="G194" s="23"/>
      <c r="H194" s="23" t="s">
        <v>200</v>
      </c>
      <c r="I194" s="23"/>
      <c r="J194" s="23"/>
      <c r="K194" s="23"/>
      <c r="L194" s="23" t="s">
        <v>179</v>
      </c>
      <c r="M194" s="23"/>
      <c r="N194" s="23" t="str">
        <f>TEXT([1]기계경비총괄표!H12,"#,##0.#######")</f>
        <v>14,923.4</v>
      </c>
      <c r="O194" s="23"/>
      <c r="P194" s="23"/>
      <c r="Q194" s="23"/>
      <c r="R194" s="23"/>
      <c r="S194" s="23"/>
      <c r="T194" s="23"/>
      <c r="U194" s="23" t="s">
        <v>186</v>
      </c>
      <c r="V194" s="23"/>
      <c r="W194" s="23"/>
      <c r="X194" s="23" t="str">
        <f>TEXT(K191,"#,##0.#######")</f>
        <v>1.75</v>
      </c>
      <c r="Y194" s="23"/>
      <c r="Z194" s="23"/>
      <c r="AA194" s="23" t="s">
        <v>184</v>
      </c>
      <c r="AB194" s="23"/>
      <c r="AC194" s="23"/>
      <c r="AD194" s="23" t="str">
        <f>TEXT(TRUNC(N194/X194,1),"#,##0.#")</f>
        <v>8,527.6</v>
      </c>
      <c r="AE194" s="23"/>
      <c r="AF194" s="23"/>
      <c r="AG194" s="23"/>
      <c r="AH194" s="23"/>
      <c r="AI194" s="23"/>
      <c r="AJ194" s="23" t="s">
        <v>185</v>
      </c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  <c r="CA194" s="23"/>
      <c r="CB194" s="23"/>
      <c r="CC194" s="23"/>
      <c r="CD194" s="23"/>
      <c r="CE194" s="23"/>
      <c r="CF194" s="23"/>
      <c r="CG194" s="23"/>
      <c r="CH194" s="27"/>
      <c r="CI194" s="27"/>
      <c r="CJ194" s="28"/>
      <c r="CK194" s="28" t="str">
        <f>AD194</f>
        <v>8,527.6</v>
      </c>
      <c r="CL194" s="39"/>
    </row>
    <row r="195" spans="2:90" ht="18.600000000000001" customHeight="1" x14ac:dyDescent="0.25">
      <c r="B195" s="26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  <c r="CA195" s="23"/>
      <c r="CB195" s="23"/>
      <c r="CC195" s="23"/>
      <c r="CD195" s="23"/>
      <c r="CE195" s="23"/>
      <c r="CF195" s="23"/>
      <c r="CG195" s="23"/>
      <c r="CH195" s="27"/>
      <c r="CI195" s="27"/>
      <c r="CJ195" s="28"/>
      <c r="CK195" s="28"/>
      <c r="CL195" s="39"/>
    </row>
    <row r="196" spans="2:90" ht="18.600000000000001" customHeight="1" x14ac:dyDescent="0.25">
      <c r="B196" s="26"/>
      <c r="C196" s="23"/>
      <c r="D196" s="23" t="s">
        <v>201</v>
      </c>
      <c r="E196" s="23"/>
      <c r="F196" s="23"/>
      <c r="G196" s="23" t="s">
        <v>202</v>
      </c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  <c r="CA196" s="23"/>
      <c r="CB196" s="23"/>
      <c r="CC196" s="23"/>
      <c r="CD196" s="23"/>
      <c r="CE196" s="23"/>
      <c r="CF196" s="23"/>
      <c r="CG196" s="23"/>
      <c r="CH196" s="27"/>
      <c r="CI196" s="27"/>
      <c r="CJ196" s="28"/>
      <c r="CK196" s="28"/>
      <c r="CL196" s="39"/>
    </row>
    <row r="197" spans="2:90" ht="18.600000000000001" customHeight="1" x14ac:dyDescent="0.25">
      <c r="B197" s="26"/>
      <c r="C197" s="23"/>
      <c r="D197" s="29"/>
      <c r="E197" s="23"/>
      <c r="F197" s="23"/>
      <c r="G197" s="23"/>
      <c r="H197" s="23" t="s">
        <v>203</v>
      </c>
      <c r="I197" s="23"/>
      <c r="J197" s="23"/>
      <c r="K197" s="23"/>
      <c r="L197" s="23"/>
      <c r="M197" s="23"/>
      <c r="N197" s="23"/>
      <c r="O197" s="23"/>
      <c r="P197" s="23" t="str">
        <f>TEXT([1]노임및중기단가!I8,"#,##0.#######")</f>
        <v>138,290.</v>
      </c>
      <c r="Q197" s="23"/>
      <c r="R197" s="23"/>
      <c r="S197" s="23"/>
      <c r="T197" s="23"/>
      <c r="U197" s="23"/>
      <c r="V197" s="23"/>
      <c r="W197" s="23" t="s">
        <v>175</v>
      </c>
      <c r="X197" s="23"/>
      <c r="Y197" s="23"/>
      <c r="Z197" s="23" t="str">
        <f>TEXT(1,"#,##0.#######")</f>
        <v>1.</v>
      </c>
      <c r="AA197" s="23"/>
      <c r="AB197" s="23" t="s">
        <v>204</v>
      </c>
      <c r="AC197" s="23"/>
      <c r="AD197" s="23"/>
      <c r="AE197" s="23" t="s">
        <v>186</v>
      </c>
      <c r="AF197" s="23"/>
      <c r="AG197" s="23" t="s">
        <v>205</v>
      </c>
      <c r="AH197" s="23" t="str">
        <f>TEXT(8,"#,##0.#######")</f>
        <v>8.</v>
      </c>
      <c r="AI197" s="23"/>
      <c r="AJ197" s="23" t="s">
        <v>176</v>
      </c>
      <c r="AK197" s="23"/>
      <c r="AL197" s="23"/>
      <c r="AM197" s="23" t="s">
        <v>175</v>
      </c>
      <c r="AN197" s="23"/>
      <c r="AO197" s="23"/>
      <c r="AP197" s="23" t="str">
        <f>TEXT(K191,"#,##0.#######")</f>
        <v>1.75</v>
      </c>
      <c r="AQ197" s="23"/>
      <c r="AR197" s="23"/>
      <c r="AS197" s="23" t="s">
        <v>42</v>
      </c>
      <c r="AT197" s="23"/>
      <c r="AU197" s="23"/>
      <c r="AV197" s="23"/>
      <c r="AW197" s="23" t="s">
        <v>46</v>
      </c>
      <c r="AX197" s="23"/>
      <c r="AY197" s="23"/>
      <c r="AZ197" s="23" t="str">
        <f>TEXT(TRUNC(P197*Z197/(AH197*AP197),1),"#,##0.#")</f>
        <v>9,877.8</v>
      </c>
      <c r="BA197" s="23"/>
      <c r="BB197" s="23"/>
      <c r="BC197" s="23"/>
      <c r="BD197" s="23"/>
      <c r="BE197" s="23"/>
      <c r="BF197" s="23" t="s">
        <v>66</v>
      </c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  <c r="BX197" s="23"/>
      <c r="BY197" s="23"/>
      <c r="BZ197" s="23"/>
      <c r="CA197" s="23"/>
      <c r="CB197" s="23"/>
      <c r="CC197" s="23"/>
      <c r="CD197" s="23"/>
      <c r="CE197" s="23"/>
      <c r="CF197" s="23"/>
      <c r="CG197" s="23"/>
      <c r="CH197" s="27"/>
      <c r="CI197" s="27" t="str">
        <f>AZ197</f>
        <v>9,877.8</v>
      </c>
      <c r="CJ197" s="28"/>
      <c r="CK197" s="28"/>
      <c r="CL197" s="39"/>
    </row>
    <row r="198" spans="2:90" ht="18.600000000000001" customHeight="1" x14ac:dyDescent="0.25">
      <c r="B198" s="26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27"/>
      <c r="CI198" s="27"/>
      <c r="CJ198" s="28"/>
      <c r="CK198" s="28"/>
      <c r="CL198" s="57"/>
    </row>
    <row r="199" spans="2:90" ht="18.600000000000001" customHeight="1" x14ac:dyDescent="0.25">
      <c r="B199" s="26"/>
      <c r="C199" s="23"/>
      <c r="D199" s="23" t="s">
        <v>51</v>
      </c>
      <c r="E199" s="23"/>
      <c r="F199" s="23"/>
      <c r="G199" s="23" t="s">
        <v>76</v>
      </c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27"/>
      <c r="CI199" s="27"/>
      <c r="CJ199" s="28"/>
      <c r="CK199" s="28"/>
      <c r="CL199" s="57"/>
    </row>
    <row r="200" spans="2:90" ht="18.600000000000001" customHeight="1" x14ac:dyDescent="0.25">
      <c r="B200" s="26"/>
      <c r="C200" s="23"/>
      <c r="D200" s="23"/>
      <c r="E200" s="23"/>
      <c r="F200" s="23"/>
      <c r="G200" s="23"/>
      <c r="H200" s="23" t="str">
        <f>TEXT(0.008,"#,##0.#######")</f>
        <v>0.008</v>
      </c>
      <c r="I200" s="23"/>
      <c r="J200" s="23"/>
      <c r="K200" s="23"/>
      <c r="L200" s="23" t="s">
        <v>72</v>
      </c>
      <c r="M200" s="23"/>
      <c r="N200" s="23"/>
      <c r="O200" s="29"/>
      <c r="P200" s="29"/>
      <c r="Q200" s="23" t="s">
        <v>48</v>
      </c>
      <c r="R200" s="23"/>
      <c r="S200" s="23"/>
      <c r="T200" s="23" t="str">
        <f>TEXT([1]자재단가!M85,"#,##0.#######")</f>
        <v>78,100.</v>
      </c>
      <c r="U200" s="23"/>
      <c r="V200" s="23"/>
      <c r="W200" s="23"/>
      <c r="X200" s="23"/>
      <c r="Y200" s="23"/>
      <c r="Z200" s="23"/>
      <c r="AA200" s="23" t="s">
        <v>73</v>
      </c>
      <c r="AB200" s="29"/>
      <c r="AC200" s="29"/>
      <c r="AD200" s="29"/>
      <c r="AE200" s="29"/>
      <c r="AF200" s="23" t="s">
        <v>47</v>
      </c>
      <c r="AG200" s="23"/>
      <c r="AH200" s="23"/>
      <c r="AI200" s="23" t="str">
        <f>TEXT(K191,"#,##0.#######")</f>
        <v>1.75</v>
      </c>
      <c r="AJ200" s="23"/>
      <c r="AK200" s="23"/>
      <c r="AL200" s="23"/>
      <c r="AM200" s="23" t="s">
        <v>69</v>
      </c>
      <c r="AN200" s="23"/>
      <c r="AO200" s="23"/>
      <c r="AP200" s="23"/>
      <c r="AQ200" s="23"/>
      <c r="AR200" s="23"/>
      <c r="AS200" s="23" t="s">
        <v>46</v>
      </c>
      <c r="AT200" s="23"/>
      <c r="AU200" s="23"/>
      <c r="AV200" s="23" t="str">
        <f>TEXT(TRUNC(H200*T200/AI200,1),"#,##0.#")</f>
        <v>357.</v>
      </c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27"/>
      <c r="CI200" s="27"/>
      <c r="CJ200" s="28" t="str">
        <f>AV200</f>
        <v>357.</v>
      </c>
      <c r="CK200" s="28"/>
      <c r="CL200" s="57"/>
    </row>
    <row r="201" spans="2:90" ht="18.600000000000001" customHeight="1" x14ac:dyDescent="0.25">
      <c r="B201" s="26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27"/>
      <c r="CI201" s="27"/>
      <c r="CJ201" s="28"/>
      <c r="CK201" s="28"/>
      <c r="CL201" s="57"/>
    </row>
    <row r="202" spans="2:90" ht="18.600000000000001" customHeight="1" x14ac:dyDescent="0.25">
      <c r="B202" s="22"/>
      <c r="C202" s="23"/>
      <c r="D202" s="23"/>
      <c r="E202" s="23"/>
      <c r="F202" s="23"/>
      <c r="G202" s="23" t="s">
        <v>52</v>
      </c>
      <c r="H202" s="23"/>
      <c r="I202" s="23"/>
      <c r="J202" s="23"/>
      <c r="K202" s="23"/>
      <c r="L202" s="23"/>
      <c r="M202" s="23"/>
      <c r="N202" s="23" t="s">
        <v>43</v>
      </c>
      <c r="O202" s="23"/>
      <c r="P202" s="23" t="str">
        <f>AD192</f>
        <v>24,152.5</v>
      </c>
      <c r="Q202" s="23"/>
      <c r="R202" s="23"/>
      <c r="S202" s="23"/>
      <c r="T202" s="23"/>
      <c r="U202" s="23"/>
      <c r="V202" s="23"/>
      <c r="W202" s="23" t="s">
        <v>45</v>
      </c>
      <c r="X202" s="23"/>
      <c r="Y202" s="23" t="str">
        <f>AZ197</f>
        <v>9,877.8</v>
      </c>
      <c r="Z202" s="23"/>
      <c r="AA202" s="23"/>
      <c r="AB202" s="23"/>
      <c r="AC202" s="23"/>
      <c r="AD202" s="23"/>
      <c r="AE202" s="23"/>
      <c r="AF202" s="23"/>
      <c r="AG202" s="23">
        <f>AE198</f>
        <v>0</v>
      </c>
      <c r="AH202" s="23"/>
      <c r="AI202" s="23"/>
      <c r="AJ202" s="23"/>
      <c r="AK202" s="23"/>
      <c r="AL202" s="23"/>
      <c r="AM202" s="23" t="s">
        <v>46</v>
      </c>
      <c r="AN202" s="23"/>
      <c r="AO202" s="23" t="str">
        <f>TEXT(TRUNC(P202+Y202,1),"#,##0.#")</f>
        <v>34,030.3</v>
      </c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  <c r="CA202" s="23"/>
      <c r="CB202" s="23"/>
      <c r="CC202" s="23"/>
      <c r="CD202" s="23"/>
      <c r="CE202" s="23"/>
      <c r="CF202" s="23"/>
      <c r="CG202" s="23"/>
      <c r="CH202" s="24"/>
      <c r="CI202" s="24"/>
      <c r="CJ202" s="25"/>
      <c r="CK202" s="52"/>
      <c r="CL202" s="56"/>
    </row>
    <row r="203" spans="2:90" ht="18.600000000000001" customHeight="1" x14ac:dyDescent="0.25">
      <c r="B203" s="22"/>
      <c r="C203" s="23"/>
      <c r="D203" s="23"/>
      <c r="E203" s="23"/>
      <c r="F203" s="23"/>
      <c r="G203" s="23" t="s">
        <v>53</v>
      </c>
      <c r="H203" s="23"/>
      <c r="I203" s="23"/>
      <c r="J203" s="23"/>
      <c r="K203" s="23"/>
      <c r="L203" s="23"/>
      <c r="M203" s="23"/>
      <c r="N203" s="23" t="s">
        <v>43</v>
      </c>
      <c r="O203" s="23"/>
      <c r="P203" s="23" t="str">
        <f>AD193</f>
        <v>4,297.2</v>
      </c>
      <c r="Q203" s="23"/>
      <c r="R203" s="23"/>
      <c r="S203" s="23"/>
      <c r="T203" s="23"/>
      <c r="U203" s="23"/>
      <c r="V203" s="23"/>
      <c r="W203" s="23" t="s">
        <v>45</v>
      </c>
      <c r="X203" s="23"/>
      <c r="Y203" s="23" t="str">
        <f>AV200</f>
        <v>357.</v>
      </c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 t="s">
        <v>46</v>
      </c>
      <c r="AN203" s="23"/>
      <c r="AO203" s="23" t="str">
        <f>TEXT(TRUNC(P203+Y203,1),"#,##0.#")</f>
        <v>4,654.2</v>
      </c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  <c r="BX203" s="23"/>
      <c r="BY203" s="23"/>
      <c r="BZ203" s="23"/>
      <c r="CA203" s="23"/>
      <c r="CB203" s="23"/>
      <c r="CC203" s="23"/>
      <c r="CD203" s="23"/>
      <c r="CE203" s="23"/>
      <c r="CF203" s="23"/>
      <c r="CG203" s="23"/>
      <c r="CH203" s="24"/>
      <c r="CI203" s="24"/>
      <c r="CJ203" s="25"/>
      <c r="CK203" s="25"/>
      <c r="CL203" s="56"/>
    </row>
    <row r="204" spans="2:90" ht="18.600000000000001" customHeight="1" x14ac:dyDescent="0.25">
      <c r="B204" s="22"/>
      <c r="C204" s="23"/>
      <c r="D204" s="23"/>
      <c r="E204" s="23"/>
      <c r="F204" s="23"/>
      <c r="G204" s="23" t="s">
        <v>63</v>
      </c>
      <c r="H204" s="23"/>
      <c r="I204" s="23"/>
      <c r="J204" s="23"/>
      <c r="K204" s="23" t="s">
        <v>64</v>
      </c>
      <c r="L204" s="23"/>
      <c r="M204" s="23"/>
      <c r="N204" s="23" t="s">
        <v>43</v>
      </c>
      <c r="O204" s="23"/>
      <c r="P204" s="23" t="str">
        <f>AD194</f>
        <v>8,527.6</v>
      </c>
      <c r="Q204" s="23"/>
      <c r="R204" s="23"/>
      <c r="S204" s="23"/>
      <c r="T204" s="23"/>
      <c r="U204" s="23"/>
      <c r="V204" s="23"/>
      <c r="W204" s="23"/>
      <c r="X204" s="23"/>
      <c r="Y204" s="23">
        <f>AE200</f>
        <v>0</v>
      </c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 t="s">
        <v>46</v>
      </c>
      <c r="AN204" s="23"/>
      <c r="AO204" s="23" t="str">
        <f>TEXT(TRUNC(P204,1),"#,##0.#")</f>
        <v>8,527.6</v>
      </c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  <c r="BX204" s="23"/>
      <c r="BY204" s="23"/>
      <c r="BZ204" s="23"/>
      <c r="CA204" s="23"/>
      <c r="CB204" s="23"/>
      <c r="CC204" s="23"/>
      <c r="CD204" s="23"/>
      <c r="CE204" s="23"/>
      <c r="CF204" s="23"/>
      <c r="CG204" s="23"/>
      <c r="CH204" s="27"/>
      <c r="CI204" s="27"/>
      <c r="CJ204" s="28"/>
      <c r="CK204" s="28"/>
      <c r="CL204" s="39"/>
    </row>
    <row r="205" spans="2:90" ht="18.600000000000001" customHeight="1" x14ac:dyDescent="0.25">
      <c r="B205" s="22"/>
      <c r="C205" s="23"/>
      <c r="D205" s="23"/>
      <c r="E205" s="23"/>
      <c r="F205" s="23"/>
      <c r="G205" s="23" t="s">
        <v>65</v>
      </c>
      <c r="H205" s="23"/>
      <c r="I205" s="23"/>
      <c r="J205" s="23"/>
      <c r="K205" s="23" t="s">
        <v>40</v>
      </c>
      <c r="L205" s="23"/>
      <c r="M205" s="23"/>
      <c r="N205" s="23" t="s">
        <v>43</v>
      </c>
      <c r="O205" s="23"/>
      <c r="P205" s="23" t="str">
        <f>TEXT(AO202+AO203+AO204,"#,##0.#######")</f>
        <v>47,212.1</v>
      </c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  <c r="BX205" s="23"/>
      <c r="BY205" s="23"/>
      <c r="BZ205" s="23"/>
      <c r="CA205" s="23"/>
      <c r="CB205" s="23"/>
      <c r="CC205" s="23"/>
      <c r="CD205" s="23"/>
      <c r="CE205" s="23"/>
      <c r="CF205" s="23"/>
      <c r="CG205" s="23"/>
      <c r="CH205" s="27">
        <f>CI205+CJ205+CK205</f>
        <v>47212.1</v>
      </c>
      <c r="CI205" s="27" t="str">
        <f>AO202</f>
        <v>34,030.3</v>
      </c>
      <c r="CJ205" s="28" t="str">
        <f>AO203</f>
        <v>4,654.2</v>
      </c>
      <c r="CK205" s="28" t="str">
        <f>AO204</f>
        <v>8,527.6</v>
      </c>
      <c r="CL205" s="39"/>
    </row>
    <row r="206" spans="2:90" ht="18.600000000000001" customHeight="1" x14ac:dyDescent="0.25">
      <c r="B206" s="95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  <c r="AJ206" s="78"/>
      <c r="AK206" s="78"/>
      <c r="AL206" s="78"/>
      <c r="AM206" s="78"/>
      <c r="AN206" s="78"/>
      <c r="AO206" s="78"/>
      <c r="AP206" s="78"/>
      <c r="AQ206" s="78"/>
      <c r="AR206" s="78"/>
      <c r="AS206" s="78"/>
      <c r="AT206" s="78"/>
      <c r="AU206" s="78"/>
      <c r="AV206" s="78"/>
      <c r="AW206" s="78"/>
      <c r="AX206" s="78"/>
      <c r="AY206" s="78"/>
      <c r="AZ206" s="78"/>
      <c r="BA206" s="78"/>
      <c r="BB206" s="78"/>
      <c r="BC206" s="78"/>
      <c r="BD206" s="78"/>
      <c r="BE206" s="78"/>
      <c r="BF206" s="78"/>
      <c r="BG206" s="78"/>
      <c r="BH206" s="78"/>
      <c r="BI206" s="78"/>
      <c r="BJ206" s="78"/>
      <c r="BK206" s="78"/>
      <c r="BL206" s="78"/>
      <c r="BM206" s="78"/>
      <c r="BN206" s="78"/>
      <c r="BO206" s="78"/>
      <c r="BP206" s="78"/>
      <c r="BQ206" s="78"/>
      <c r="BR206" s="78"/>
      <c r="BS206" s="78"/>
      <c r="BT206" s="78"/>
      <c r="BU206" s="78"/>
      <c r="BV206" s="78"/>
      <c r="BW206" s="78"/>
      <c r="BX206" s="78"/>
      <c r="BY206" s="78"/>
      <c r="BZ206" s="78"/>
      <c r="CA206" s="78"/>
      <c r="CB206" s="78"/>
      <c r="CC206" s="78"/>
      <c r="CD206" s="78"/>
      <c r="CE206" s="78"/>
      <c r="CF206" s="78"/>
      <c r="CG206" s="78"/>
      <c r="CH206" s="79"/>
      <c r="CI206" s="79"/>
      <c r="CJ206" s="80"/>
      <c r="CK206" s="80"/>
      <c r="CL206" s="81"/>
    </row>
    <row r="207" spans="2:90" ht="17.649999999999999" customHeight="1" x14ac:dyDescent="0.25">
      <c r="B207" s="82" t="s">
        <v>81</v>
      </c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/>
      <c r="AB207" s="83"/>
      <c r="AC207" s="83"/>
      <c r="AD207" s="83"/>
      <c r="AE207" s="83"/>
      <c r="AF207" s="83"/>
      <c r="AG207" s="83"/>
      <c r="AH207" s="83"/>
      <c r="AI207" s="83"/>
      <c r="AJ207" s="83"/>
      <c r="AK207" s="83"/>
      <c r="AL207" s="83"/>
      <c r="AM207" s="83"/>
      <c r="AN207" s="83"/>
      <c r="AO207" s="83"/>
      <c r="AP207" s="83"/>
      <c r="AQ207" s="83"/>
      <c r="AR207" s="83"/>
      <c r="AS207" s="83"/>
      <c r="AT207" s="83"/>
      <c r="AU207" s="83"/>
      <c r="AV207" s="83"/>
      <c r="AW207" s="83"/>
      <c r="AX207" s="83"/>
      <c r="AY207" s="83"/>
      <c r="AZ207" s="83"/>
      <c r="BA207" s="83"/>
      <c r="BB207" s="83"/>
      <c r="BC207" s="83"/>
      <c r="BD207" s="83"/>
      <c r="BE207" s="83"/>
      <c r="BF207" s="83"/>
      <c r="BG207" s="83"/>
      <c r="BH207" s="83"/>
      <c r="BI207" s="83"/>
      <c r="BJ207" s="83"/>
      <c r="BK207" s="83"/>
      <c r="BL207" s="83"/>
      <c r="BM207" s="83"/>
      <c r="BN207" s="83"/>
      <c r="BO207" s="83"/>
      <c r="BP207" s="83"/>
      <c r="BQ207" s="83"/>
      <c r="BR207" s="83"/>
      <c r="BS207" s="83"/>
      <c r="BT207" s="83"/>
      <c r="BU207" s="83"/>
      <c r="BV207" s="83"/>
      <c r="BW207" s="83"/>
      <c r="BX207" s="83"/>
      <c r="BY207" s="83"/>
      <c r="BZ207" s="83"/>
      <c r="CA207" s="83"/>
      <c r="CB207" s="83"/>
      <c r="CC207" s="83"/>
      <c r="CD207" s="83"/>
      <c r="CE207" s="83"/>
      <c r="CF207" s="83"/>
      <c r="CG207" s="83"/>
      <c r="CH207" s="94">
        <f>TRUNC(CI207+CJ207+CK207,0)</f>
        <v>24079</v>
      </c>
      <c r="CI207" s="94">
        <f>TRUNC(CI210+CI215,0)</f>
        <v>12946</v>
      </c>
      <c r="CJ207" s="54">
        <f>TRUNC(CJ211+CJ218,0)</f>
        <v>4180</v>
      </c>
      <c r="CK207" s="54">
        <f>TRUNC(CK212,0)</f>
        <v>6953</v>
      </c>
      <c r="CL207" s="102">
        <v>8215</v>
      </c>
    </row>
    <row r="208" spans="2:90" ht="17.649999999999999" customHeight="1" x14ac:dyDescent="0.25">
      <c r="B208" s="26"/>
      <c r="C208" s="23"/>
      <c r="D208" s="23" t="s">
        <v>62</v>
      </c>
      <c r="E208" s="23"/>
      <c r="F208" s="23"/>
      <c r="G208" s="23" t="s">
        <v>67</v>
      </c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  <c r="BX208" s="23"/>
      <c r="BY208" s="23"/>
      <c r="BZ208" s="23"/>
      <c r="CA208" s="23"/>
      <c r="CB208" s="23"/>
      <c r="CC208" s="23"/>
      <c r="CD208" s="23"/>
      <c r="CE208" s="23"/>
      <c r="CF208" s="23"/>
      <c r="CG208" s="23"/>
      <c r="CH208" s="27"/>
      <c r="CI208" s="27"/>
      <c r="CJ208" s="28"/>
      <c r="CK208" s="28"/>
      <c r="CL208" s="39" t="s">
        <v>89</v>
      </c>
    </row>
    <row r="209" spans="2:90" ht="17.649999999999999" customHeight="1" x14ac:dyDescent="0.25">
      <c r="B209" s="26"/>
      <c r="C209" s="23"/>
      <c r="D209" s="23"/>
      <c r="E209" s="23"/>
      <c r="F209" s="23"/>
      <c r="G209" s="23" t="s">
        <v>68</v>
      </c>
      <c r="H209" s="23"/>
      <c r="I209" s="23"/>
      <c r="J209" s="23"/>
      <c r="K209" s="23" t="s">
        <v>41</v>
      </c>
      <c r="L209" s="23" t="str">
        <f>TEXT(3.3,"#,##0.#######")</f>
        <v>3.3</v>
      </c>
      <c r="M209" s="23"/>
      <c r="N209" s="23"/>
      <c r="O209" s="23" t="s">
        <v>45</v>
      </c>
      <c r="P209" s="23"/>
      <c r="Q209" s="23" t="str">
        <f>TEXT(5.9,"#,##0.#######")</f>
        <v>5.9</v>
      </c>
      <c r="R209" s="23"/>
      <c r="S209" s="23"/>
      <c r="T209" s="23" t="s">
        <v>42</v>
      </c>
      <c r="U209" s="23" t="s">
        <v>47</v>
      </c>
      <c r="V209" s="23"/>
      <c r="W209" s="23"/>
      <c r="X209" s="23" t="str">
        <f>TEXT(2,"#,##0.#######")</f>
        <v>2.</v>
      </c>
      <c r="Y209" s="23"/>
      <c r="Z209" s="23"/>
      <c r="AA209" s="23" t="s">
        <v>46</v>
      </c>
      <c r="AB209" s="23"/>
      <c r="AC209" s="23"/>
      <c r="AD209" s="23" t="str">
        <f>TEXT((L209+Q209)/X209,"#,##0.#######")</f>
        <v>4.6</v>
      </c>
      <c r="AE209" s="23"/>
      <c r="AF209" s="23"/>
      <c r="AG209" s="23" t="s">
        <v>69</v>
      </c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  <c r="BX209" s="23"/>
      <c r="BY209" s="23"/>
      <c r="BZ209" s="23"/>
      <c r="CA209" s="23"/>
      <c r="CB209" s="23"/>
      <c r="CC209" s="23"/>
      <c r="CD209" s="23"/>
      <c r="CE209" s="23"/>
      <c r="CF209" s="23"/>
      <c r="CG209" s="23"/>
      <c r="CH209" s="27"/>
      <c r="CI209" s="27"/>
      <c r="CJ209" s="28"/>
      <c r="CK209" s="28"/>
      <c r="CL209" s="39"/>
    </row>
    <row r="210" spans="2:90" ht="17.649999999999999" customHeight="1" x14ac:dyDescent="0.25">
      <c r="B210" s="26"/>
      <c r="C210" s="23"/>
      <c r="D210" s="23"/>
      <c r="E210" s="23"/>
      <c r="F210" s="23"/>
      <c r="G210" s="23"/>
      <c r="H210" s="23" t="s">
        <v>52</v>
      </c>
      <c r="I210" s="23"/>
      <c r="J210" s="23"/>
      <c r="K210" s="23"/>
      <c r="L210" s="23"/>
      <c r="M210" s="23" t="s">
        <v>43</v>
      </c>
      <c r="N210" s="23" t="str">
        <f>TEXT([1]기계경비총괄표!G14,"#,##0.#######")</f>
        <v>42,267.</v>
      </c>
      <c r="O210" s="23"/>
      <c r="P210" s="23"/>
      <c r="Q210" s="23"/>
      <c r="R210" s="23"/>
      <c r="S210" s="23"/>
      <c r="T210" s="23"/>
      <c r="U210" s="23" t="s">
        <v>47</v>
      </c>
      <c r="V210" s="23"/>
      <c r="W210" s="23"/>
      <c r="X210" s="23" t="str">
        <f>TEXT(AD209,"#,##0.#######")</f>
        <v>4.6</v>
      </c>
      <c r="Y210" s="23"/>
      <c r="Z210" s="23"/>
      <c r="AA210" s="23" t="s">
        <v>46</v>
      </c>
      <c r="AB210" s="23"/>
      <c r="AC210" s="23"/>
      <c r="AD210" s="23" t="str">
        <f>TEXT(TRUNC(N210/X210,1),"#,##0.#")</f>
        <v>9,188.4</v>
      </c>
      <c r="AE210" s="23"/>
      <c r="AF210" s="23"/>
      <c r="AG210" s="23"/>
      <c r="AH210" s="23"/>
      <c r="AI210" s="23"/>
      <c r="AJ210" s="23" t="s">
        <v>66</v>
      </c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  <c r="BX210" s="23"/>
      <c r="BY210" s="23"/>
      <c r="BZ210" s="23"/>
      <c r="CA210" s="23"/>
      <c r="CB210" s="23"/>
      <c r="CC210" s="23"/>
      <c r="CD210" s="23"/>
      <c r="CE210" s="23"/>
      <c r="CF210" s="23"/>
      <c r="CG210" s="23"/>
      <c r="CH210" s="27"/>
      <c r="CI210" s="27" t="str">
        <f>AD210</f>
        <v>9,188.4</v>
      </c>
      <c r="CJ210" s="28"/>
      <c r="CK210" s="28"/>
      <c r="CL210" s="39"/>
    </row>
    <row r="211" spans="2:90" ht="17.649999999999999" customHeight="1" x14ac:dyDescent="0.25">
      <c r="B211" s="26"/>
      <c r="C211" s="23"/>
      <c r="D211" s="23"/>
      <c r="E211" s="23"/>
      <c r="F211" s="23"/>
      <c r="G211" s="23"/>
      <c r="H211" s="23" t="s">
        <v>53</v>
      </c>
      <c r="I211" s="23"/>
      <c r="J211" s="23"/>
      <c r="K211" s="23"/>
      <c r="L211" s="23"/>
      <c r="M211" s="23" t="s">
        <v>43</v>
      </c>
      <c r="N211" s="23" t="str">
        <f>TEXT([1]기계경비총괄표!F14,"#,##0.#######")</f>
        <v>17,879.3</v>
      </c>
      <c r="O211" s="23"/>
      <c r="P211" s="23"/>
      <c r="Q211" s="23"/>
      <c r="R211" s="23"/>
      <c r="S211" s="23"/>
      <c r="T211" s="23"/>
      <c r="U211" s="23" t="s">
        <v>47</v>
      </c>
      <c r="V211" s="23"/>
      <c r="W211" s="23"/>
      <c r="X211" s="23" t="str">
        <f>TEXT(AD209,"#,##0.#######")</f>
        <v>4.6</v>
      </c>
      <c r="Y211" s="23"/>
      <c r="Z211" s="23"/>
      <c r="AA211" s="23" t="s">
        <v>46</v>
      </c>
      <c r="AB211" s="23"/>
      <c r="AC211" s="23"/>
      <c r="AD211" s="23" t="str">
        <f>TEXT(TRUNC(N211/X211,1),"#,##0.#")</f>
        <v>3,886.8</v>
      </c>
      <c r="AE211" s="23"/>
      <c r="AF211" s="23"/>
      <c r="AG211" s="23"/>
      <c r="AH211" s="23"/>
      <c r="AI211" s="23"/>
      <c r="AJ211" s="23" t="s">
        <v>66</v>
      </c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  <c r="BX211" s="23"/>
      <c r="BY211" s="23"/>
      <c r="BZ211" s="23"/>
      <c r="CA211" s="23"/>
      <c r="CB211" s="23"/>
      <c r="CC211" s="23"/>
      <c r="CD211" s="23"/>
      <c r="CE211" s="23"/>
      <c r="CF211" s="23"/>
      <c r="CG211" s="23"/>
      <c r="CH211" s="27"/>
      <c r="CI211" s="27"/>
      <c r="CJ211" s="28" t="str">
        <f>AD211</f>
        <v>3,886.8</v>
      </c>
      <c r="CK211" s="28"/>
      <c r="CL211" s="39"/>
    </row>
    <row r="212" spans="2:90" ht="17.649999999999999" customHeight="1" x14ac:dyDescent="0.25">
      <c r="B212" s="26"/>
      <c r="C212" s="23"/>
      <c r="D212" s="23"/>
      <c r="E212" s="23"/>
      <c r="F212" s="23"/>
      <c r="G212" s="23"/>
      <c r="H212" s="23" t="s">
        <v>171</v>
      </c>
      <c r="I212" s="23"/>
      <c r="J212" s="23"/>
      <c r="K212" s="23"/>
      <c r="L212" s="23" t="s">
        <v>43</v>
      </c>
      <c r="M212" s="23"/>
      <c r="N212" s="23" t="str">
        <f>TEXT([1]기계경비총괄표!H14,"#,##0.#######")</f>
        <v>31,987.2</v>
      </c>
      <c r="O212" s="23"/>
      <c r="P212" s="23"/>
      <c r="Q212" s="23"/>
      <c r="R212" s="23"/>
      <c r="S212" s="23"/>
      <c r="T212" s="23"/>
      <c r="U212" s="23" t="s">
        <v>47</v>
      </c>
      <c r="V212" s="23"/>
      <c r="W212" s="23"/>
      <c r="X212" s="23" t="str">
        <f>TEXT(AD209,"#,##0.#######")</f>
        <v>4.6</v>
      </c>
      <c r="Y212" s="23"/>
      <c r="Z212" s="23"/>
      <c r="AA212" s="23" t="s">
        <v>46</v>
      </c>
      <c r="AB212" s="23"/>
      <c r="AC212" s="23"/>
      <c r="AD212" s="23" t="str">
        <f>TEXT(TRUNC(N212/X212,1),"#,##0.#")</f>
        <v>6,953.7</v>
      </c>
      <c r="AE212" s="23"/>
      <c r="AF212" s="23"/>
      <c r="AG212" s="23"/>
      <c r="AH212" s="23"/>
      <c r="AI212" s="23"/>
      <c r="AJ212" s="23" t="s">
        <v>66</v>
      </c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  <c r="BZ212" s="23"/>
      <c r="CA212" s="23"/>
      <c r="CB212" s="23"/>
      <c r="CC212" s="23"/>
      <c r="CD212" s="23"/>
      <c r="CE212" s="23"/>
      <c r="CF212" s="23"/>
      <c r="CG212" s="23"/>
      <c r="CH212" s="27"/>
      <c r="CI212" s="27"/>
      <c r="CJ212" s="28"/>
      <c r="CK212" s="28" t="str">
        <f>AD212</f>
        <v>6,953.7</v>
      </c>
      <c r="CL212" s="39"/>
    </row>
    <row r="213" spans="2:90" ht="17.649999999999999" customHeight="1" x14ac:dyDescent="0.25">
      <c r="B213" s="26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  <c r="BX213" s="23"/>
      <c r="BY213" s="23"/>
      <c r="BZ213" s="23"/>
      <c r="CA213" s="23"/>
      <c r="CB213" s="23"/>
      <c r="CC213" s="23"/>
      <c r="CD213" s="23"/>
      <c r="CE213" s="23"/>
      <c r="CF213" s="23"/>
      <c r="CG213" s="23"/>
      <c r="CH213" s="27"/>
      <c r="CI213" s="27"/>
      <c r="CJ213" s="28"/>
      <c r="CK213" s="28"/>
      <c r="CL213" s="39"/>
    </row>
    <row r="214" spans="2:90" ht="17.649999999999999" customHeight="1" x14ac:dyDescent="0.25">
      <c r="B214" s="26"/>
      <c r="C214" s="23"/>
      <c r="D214" s="23" t="s">
        <v>49</v>
      </c>
      <c r="E214" s="23"/>
      <c r="F214" s="23"/>
      <c r="G214" s="23" t="s">
        <v>70</v>
      </c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  <c r="BX214" s="23"/>
      <c r="BY214" s="23"/>
      <c r="BZ214" s="23"/>
      <c r="CA214" s="23"/>
      <c r="CB214" s="23"/>
      <c r="CC214" s="23"/>
      <c r="CD214" s="23"/>
      <c r="CE214" s="23"/>
      <c r="CF214" s="23"/>
      <c r="CG214" s="23"/>
      <c r="CH214" s="27"/>
      <c r="CI214" s="27"/>
      <c r="CJ214" s="28"/>
      <c r="CK214" s="28"/>
      <c r="CL214" s="39"/>
    </row>
    <row r="215" spans="2:90" ht="17.649999999999999" customHeight="1" x14ac:dyDescent="0.25">
      <c r="B215" s="26"/>
      <c r="C215" s="23"/>
      <c r="D215" s="29"/>
      <c r="E215" s="23"/>
      <c r="F215" s="23"/>
      <c r="G215" s="23"/>
      <c r="H215" s="23" t="s">
        <v>71</v>
      </c>
      <c r="I215" s="23"/>
      <c r="J215" s="23"/>
      <c r="K215" s="23"/>
      <c r="L215" s="23"/>
      <c r="M215" s="23"/>
      <c r="N215" s="23"/>
      <c r="O215" s="23"/>
      <c r="P215" s="23" t="str">
        <f>TEXT([1]노임및중기단가!I8,"#,##0.#######")</f>
        <v>138,290.</v>
      </c>
      <c r="Q215" s="23"/>
      <c r="R215" s="23"/>
      <c r="S215" s="23"/>
      <c r="T215" s="23"/>
      <c r="U215" s="23"/>
      <c r="V215" s="23"/>
      <c r="W215" s="23" t="s">
        <v>48</v>
      </c>
      <c r="X215" s="23"/>
      <c r="Y215" s="23"/>
      <c r="Z215" s="23" t="str">
        <f>TEXT(1,"#,##0.#######")</f>
        <v>1.</v>
      </c>
      <c r="AA215" s="23"/>
      <c r="AB215" s="23" t="s">
        <v>44</v>
      </c>
      <c r="AC215" s="23"/>
      <c r="AD215" s="23"/>
      <c r="AE215" s="23" t="s">
        <v>47</v>
      </c>
      <c r="AF215" s="23"/>
      <c r="AG215" s="23" t="s">
        <v>41</v>
      </c>
      <c r="AH215" s="23" t="str">
        <f>TEXT(8,"#,##0.#######")</f>
        <v>8.</v>
      </c>
      <c r="AI215" s="23"/>
      <c r="AJ215" s="23" t="s">
        <v>50</v>
      </c>
      <c r="AK215" s="23"/>
      <c r="AL215" s="23"/>
      <c r="AM215" s="23" t="s">
        <v>48</v>
      </c>
      <c r="AN215" s="23"/>
      <c r="AO215" s="23"/>
      <c r="AP215" s="23" t="str">
        <f>TEXT(AD209,"#,##0.#######")</f>
        <v>4.6</v>
      </c>
      <c r="AQ215" s="23"/>
      <c r="AR215" s="23"/>
      <c r="AS215" s="23" t="s">
        <v>42</v>
      </c>
      <c r="AT215" s="23"/>
      <c r="AU215" s="23"/>
      <c r="AV215" s="23"/>
      <c r="AW215" s="23" t="s">
        <v>46</v>
      </c>
      <c r="AX215" s="23"/>
      <c r="AY215" s="23"/>
      <c r="AZ215" s="23" t="str">
        <f>TEXT(TRUNC(P215*Z215/(AH215*AP215),1),"#,##0.#")</f>
        <v>3,757.8</v>
      </c>
      <c r="BA215" s="23"/>
      <c r="BB215" s="23"/>
      <c r="BC215" s="23"/>
      <c r="BD215" s="23"/>
      <c r="BE215" s="23"/>
      <c r="BF215" s="23" t="s">
        <v>66</v>
      </c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  <c r="CA215" s="23"/>
      <c r="CB215" s="23"/>
      <c r="CC215" s="23"/>
      <c r="CD215" s="23"/>
      <c r="CE215" s="23"/>
      <c r="CF215" s="23"/>
      <c r="CG215" s="23"/>
      <c r="CH215" s="27"/>
      <c r="CI215" s="27" t="str">
        <f>AZ215</f>
        <v>3,757.8</v>
      </c>
      <c r="CJ215" s="28"/>
      <c r="CK215" s="28"/>
      <c r="CL215" s="39"/>
    </row>
    <row r="216" spans="2:90" ht="17.649999999999999" customHeight="1" x14ac:dyDescent="0.25">
      <c r="B216" s="26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  <c r="CG216" s="34"/>
      <c r="CH216" s="27"/>
      <c r="CI216" s="27"/>
      <c r="CJ216" s="28"/>
      <c r="CK216" s="28"/>
      <c r="CL216" s="57"/>
    </row>
    <row r="217" spans="2:90" ht="17.649999999999999" customHeight="1" x14ac:dyDescent="0.25">
      <c r="B217" s="26"/>
      <c r="C217" s="23"/>
      <c r="D217" s="23" t="s">
        <v>51</v>
      </c>
      <c r="E217" s="23"/>
      <c r="F217" s="23"/>
      <c r="G217" s="23" t="s">
        <v>75</v>
      </c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34"/>
      <c r="BL217" s="34"/>
      <c r="BM217" s="34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  <c r="CG217" s="34"/>
      <c r="CH217" s="27"/>
      <c r="CI217" s="27"/>
      <c r="CJ217" s="28"/>
      <c r="CK217" s="28"/>
      <c r="CL217" s="57"/>
    </row>
    <row r="218" spans="2:90" ht="17.649999999999999" customHeight="1" x14ac:dyDescent="0.25">
      <c r="B218" s="26"/>
      <c r="C218" s="23"/>
      <c r="D218" s="23"/>
      <c r="E218" s="23"/>
      <c r="F218" s="23"/>
      <c r="G218" s="23"/>
      <c r="H218" s="23" t="str">
        <f>TEXT(0.01,"#,##0.#######")</f>
        <v>0.01</v>
      </c>
      <c r="I218" s="23"/>
      <c r="J218" s="23"/>
      <c r="K218" s="23"/>
      <c r="L218" s="23" t="s">
        <v>72</v>
      </c>
      <c r="M218" s="23"/>
      <c r="N218" s="23"/>
      <c r="O218" s="29"/>
      <c r="P218" s="29"/>
      <c r="Q218" s="23" t="s">
        <v>48</v>
      </c>
      <c r="R218" s="23"/>
      <c r="S218" s="23"/>
      <c r="T218" s="23" t="str">
        <f>TEXT([1]자재단가!M84,"#,##0.#######")</f>
        <v>135,000.</v>
      </c>
      <c r="U218" s="23"/>
      <c r="V218" s="23"/>
      <c r="W218" s="23"/>
      <c r="X218" s="23"/>
      <c r="Y218" s="23"/>
      <c r="Z218" s="23"/>
      <c r="AA218" s="23" t="s">
        <v>73</v>
      </c>
      <c r="AB218" s="29"/>
      <c r="AC218" s="29"/>
      <c r="AD218" s="29"/>
      <c r="AE218" s="29"/>
      <c r="AF218" s="23" t="s">
        <v>47</v>
      </c>
      <c r="AG218" s="23"/>
      <c r="AH218" s="23"/>
      <c r="AI218" s="23" t="str">
        <f>TEXT(AD209,"#,##0.#######")</f>
        <v>4.6</v>
      </c>
      <c r="AJ218" s="23"/>
      <c r="AK218" s="23"/>
      <c r="AL218" s="23"/>
      <c r="AM218" s="23" t="s">
        <v>69</v>
      </c>
      <c r="AN218" s="23"/>
      <c r="AO218" s="23"/>
      <c r="AP218" s="23"/>
      <c r="AQ218" s="23"/>
      <c r="AR218" s="23"/>
      <c r="AS218" s="23" t="s">
        <v>46</v>
      </c>
      <c r="AT218" s="23"/>
      <c r="AU218" s="23"/>
      <c r="AV218" s="23" t="str">
        <f>TEXT(TRUNC(H218*T218/AI218,1),"#,##0.#")</f>
        <v>293.4</v>
      </c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34"/>
      <c r="BL218" s="34"/>
      <c r="BM218" s="34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  <c r="CG218" s="34"/>
      <c r="CH218" s="27"/>
      <c r="CI218" s="27"/>
      <c r="CJ218" s="28" t="str">
        <f>AV218</f>
        <v>293.4</v>
      </c>
      <c r="CK218" s="28"/>
      <c r="CL218" s="57"/>
    </row>
    <row r="219" spans="2:90" ht="17.649999999999999" customHeight="1" x14ac:dyDescent="0.25">
      <c r="B219" s="26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34"/>
      <c r="BL219" s="34"/>
      <c r="BM219" s="34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  <c r="CG219" s="34"/>
      <c r="CH219" s="27"/>
      <c r="CI219" s="27"/>
      <c r="CJ219" s="28"/>
      <c r="CK219" s="28"/>
      <c r="CL219" s="57"/>
    </row>
    <row r="220" spans="2:90" ht="17.649999999999999" customHeight="1" x14ac:dyDescent="0.25">
      <c r="B220" s="22"/>
      <c r="C220" s="23"/>
      <c r="D220" s="23"/>
      <c r="E220" s="23"/>
      <c r="F220" s="23"/>
      <c r="G220" s="23" t="s">
        <v>120</v>
      </c>
      <c r="H220" s="23"/>
      <c r="I220" s="23"/>
      <c r="J220" s="23"/>
      <c r="K220" s="23"/>
      <c r="L220" s="23"/>
      <c r="M220" s="23"/>
      <c r="N220" s="23" t="s">
        <v>121</v>
      </c>
      <c r="O220" s="23"/>
      <c r="P220" s="23" t="str">
        <f>AD210</f>
        <v>9,188.4</v>
      </c>
      <c r="Q220" s="23"/>
      <c r="R220" s="23"/>
      <c r="S220" s="23"/>
      <c r="T220" s="23"/>
      <c r="U220" s="23"/>
      <c r="V220" s="23"/>
      <c r="W220" s="23" t="s">
        <v>97</v>
      </c>
      <c r="X220" s="23"/>
      <c r="Y220" s="23" t="str">
        <f>AZ215</f>
        <v>3,757.8</v>
      </c>
      <c r="Z220" s="23"/>
      <c r="AA220" s="23"/>
      <c r="AB220" s="23"/>
      <c r="AC220" s="23"/>
      <c r="AD220" s="23"/>
      <c r="AE220" s="23"/>
      <c r="AF220" s="23"/>
      <c r="AG220" s="23">
        <f>AE216</f>
        <v>0</v>
      </c>
      <c r="AH220" s="23"/>
      <c r="AI220" s="23"/>
      <c r="AJ220" s="23"/>
      <c r="AK220" s="23"/>
      <c r="AL220" s="23"/>
      <c r="AM220" s="23" t="s">
        <v>103</v>
      </c>
      <c r="AN220" s="23"/>
      <c r="AO220" s="23" t="str">
        <f>TEXT(TRUNC(P220+Y220,1),"#,##0.#")</f>
        <v>12,946.2</v>
      </c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  <c r="CA220" s="23"/>
      <c r="CB220" s="23"/>
      <c r="CC220" s="23"/>
      <c r="CD220" s="23"/>
      <c r="CE220" s="23"/>
      <c r="CF220" s="23"/>
      <c r="CG220" s="23"/>
      <c r="CH220" s="24"/>
      <c r="CI220" s="24"/>
      <c r="CJ220" s="25"/>
      <c r="CK220" s="52"/>
      <c r="CL220" s="56"/>
    </row>
    <row r="221" spans="2:90" ht="17.649999999999999" customHeight="1" x14ac:dyDescent="0.25">
      <c r="B221" s="22"/>
      <c r="C221" s="23"/>
      <c r="D221" s="23"/>
      <c r="E221" s="23"/>
      <c r="F221" s="23"/>
      <c r="G221" s="23" t="s">
        <v>123</v>
      </c>
      <c r="H221" s="23"/>
      <c r="I221" s="23"/>
      <c r="J221" s="23"/>
      <c r="K221" s="23"/>
      <c r="L221" s="23"/>
      <c r="M221" s="23"/>
      <c r="N221" s="23" t="s">
        <v>121</v>
      </c>
      <c r="O221" s="23"/>
      <c r="P221" s="23" t="str">
        <f>AD211</f>
        <v>3,886.8</v>
      </c>
      <c r="Q221" s="23"/>
      <c r="R221" s="23"/>
      <c r="S221" s="23"/>
      <c r="T221" s="23"/>
      <c r="U221" s="23"/>
      <c r="V221" s="23"/>
      <c r="W221" s="23" t="s">
        <v>97</v>
      </c>
      <c r="X221" s="23"/>
      <c r="Y221" s="23" t="str">
        <f>AV218</f>
        <v>293.4</v>
      </c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 t="s">
        <v>103</v>
      </c>
      <c r="AN221" s="23"/>
      <c r="AO221" s="23" t="str">
        <f>TEXT(TRUNC(P221+Y221,1),"#,##0.#")</f>
        <v>4,180.2</v>
      </c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  <c r="CA221" s="23"/>
      <c r="CB221" s="23"/>
      <c r="CC221" s="23"/>
      <c r="CD221" s="23"/>
      <c r="CE221" s="23"/>
      <c r="CF221" s="23"/>
      <c r="CG221" s="23"/>
      <c r="CH221" s="24"/>
      <c r="CI221" s="24"/>
      <c r="CJ221" s="25"/>
      <c r="CK221" s="25"/>
      <c r="CL221" s="56"/>
    </row>
    <row r="222" spans="2:90" ht="17.649999999999999" customHeight="1" x14ac:dyDescent="0.25">
      <c r="B222" s="22"/>
      <c r="C222" s="23"/>
      <c r="D222" s="23"/>
      <c r="E222" s="23"/>
      <c r="F222" s="23"/>
      <c r="G222" s="23" t="s">
        <v>124</v>
      </c>
      <c r="H222" s="23"/>
      <c r="I222" s="23"/>
      <c r="J222" s="23"/>
      <c r="K222" s="23" t="s">
        <v>125</v>
      </c>
      <c r="L222" s="23"/>
      <c r="M222" s="23"/>
      <c r="N222" s="23" t="s">
        <v>121</v>
      </c>
      <c r="O222" s="23"/>
      <c r="P222" s="23" t="str">
        <f>AD212</f>
        <v>6,953.7</v>
      </c>
      <c r="Q222" s="23"/>
      <c r="R222" s="23"/>
      <c r="S222" s="23"/>
      <c r="T222" s="23"/>
      <c r="U222" s="23"/>
      <c r="V222" s="23"/>
      <c r="W222" s="23"/>
      <c r="X222" s="23"/>
      <c r="Y222" s="23">
        <f>AE218</f>
        <v>0</v>
      </c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 t="s">
        <v>103</v>
      </c>
      <c r="AN222" s="23"/>
      <c r="AO222" s="23" t="str">
        <f>TEXT(TRUNC(P222,1),"#,##0.#")</f>
        <v>6,953.7</v>
      </c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  <c r="BX222" s="23"/>
      <c r="BY222" s="23"/>
      <c r="BZ222" s="23"/>
      <c r="CA222" s="23"/>
      <c r="CB222" s="23"/>
      <c r="CC222" s="23"/>
      <c r="CD222" s="23"/>
      <c r="CE222" s="23"/>
      <c r="CF222" s="23"/>
      <c r="CG222" s="23"/>
      <c r="CH222" s="27"/>
      <c r="CI222" s="27"/>
      <c r="CJ222" s="28"/>
      <c r="CK222" s="28"/>
      <c r="CL222" s="39"/>
    </row>
    <row r="223" spans="2:90" ht="17.649999999999999" customHeight="1" x14ac:dyDescent="0.25">
      <c r="B223" s="22"/>
      <c r="C223" s="23"/>
      <c r="D223" s="23"/>
      <c r="E223" s="23"/>
      <c r="F223" s="23"/>
      <c r="G223" s="23" t="s">
        <v>126</v>
      </c>
      <c r="H223" s="23"/>
      <c r="I223" s="23"/>
      <c r="J223" s="23"/>
      <c r="K223" s="23" t="s">
        <v>127</v>
      </c>
      <c r="L223" s="23"/>
      <c r="M223" s="23"/>
      <c r="N223" s="23" t="s">
        <v>121</v>
      </c>
      <c r="O223" s="23"/>
      <c r="P223" s="23" t="str">
        <f>TEXT(AO220+AO221+AO222,"#,##0.#######")</f>
        <v>24,080.1</v>
      </c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  <c r="BX223" s="23"/>
      <c r="BY223" s="23"/>
      <c r="BZ223" s="23"/>
      <c r="CA223" s="23"/>
      <c r="CB223" s="23"/>
      <c r="CC223" s="23"/>
      <c r="CD223" s="23"/>
      <c r="CE223" s="23"/>
      <c r="CF223" s="23"/>
      <c r="CG223" s="23"/>
      <c r="CH223" s="27">
        <f>CI223+CJ223+CK223</f>
        <v>24080.100000000002</v>
      </c>
      <c r="CI223" s="27" t="str">
        <f>AO220</f>
        <v>12,946.2</v>
      </c>
      <c r="CJ223" s="28" t="str">
        <f>AO221</f>
        <v>4,180.2</v>
      </c>
      <c r="CK223" s="28" t="str">
        <f>AO222</f>
        <v>6,953.7</v>
      </c>
      <c r="CL223" s="39"/>
    </row>
    <row r="224" spans="2:90" ht="17.649999999999999" customHeight="1" x14ac:dyDescent="0.25">
      <c r="B224" s="22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  <c r="BX224" s="23"/>
      <c r="BY224" s="23"/>
      <c r="BZ224" s="23"/>
      <c r="CA224" s="23"/>
      <c r="CB224" s="23"/>
      <c r="CC224" s="23"/>
      <c r="CD224" s="23"/>
      <c r="CE224" s="23"/>
      <c r="CF224" s="23"/>
      <c r="CG224" s="23"/>
      <c r="CH224" s="27"/>
      <c r="CI224" s="27"/>
      <c r="CJ224" s="28"/>
      <c r="CK224" s="28"/>
      <c r="CL224" s="39"/>
    </row>
    <row r="225" spans="2:90" ht="17.649999999999999" customHeight="1" x14ac:dyDescent="0.25">
      <c r="B225" s="46" t="s">
        <v>206</v>
      </c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7"/>
      <c r="AY225" s="47"/>
      <c r="AZ225" s="47"/>
      <c r="BA225" s="47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7"/>
      <c r="BM225" s="47"/>
      <c r="BN225" s="47"/>
      <c r="BO225" s="47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7"/>
      <c r="CA225" s="47"/>
      <c r="CB225" s="47"/>
      <c r="CC225" s="47"/>
      <c r="CD225" s="47"/>
      <c r="CE225" s="47"/>
      <c r="CF225" s="47"/>
      <c r="CG225" s="47"/>
      <c r="CH225" s="48">
        <f>TRUNC(CI225+CJ225+CK225,0)</f>
        <v>247612</v>
      </c>
      <c r="CI225" s="48">
        <f>TRUNC(CI227+CI228+CI236,0)</f>
        <v>227030</v>
      </c>
      <c r="CJ225" s="49">
        <f>TRUNC(CJ230+CJ237,0)</f>
        <v>15896</v>
      </c>
      <c r="CK225" s="49">
        <f>TRUNC(CK234+CK238,0)</f>
        <v>4686</v>
      </c>
      <c r="CL225" s="97">
        <v>1231</v>
      </c>
    </row>
    <row r="226" spans="2:90" ht="17.649999999999999" customHeight="1" x14ac:dyDescent="0.25">
      <c r="B226" s="26"/>
      <c r="C226" s="23"/>
      <c r="D226" s="23" t="s">
        <v>94</v>
      </c>
      <c r="E226" s="23"/>
      <c r="F226" s="23"/>
      <c r="G226" s="23" t="s">
        <v>161</v>
      </c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  <c r="BX226" s="23"/>
      <c r="BY226" s="23"/>
      <c r="BZ226" s="23"/>
      <c r="CA226" s="23"/>
      <c r="CB226" s="23"/>
      <c r="CC226" s="23"/>
      <c r="CD226" s="23"/>
      <c r="CE226" s="23"/>
      <c r="CF226" s="23"/>
      <c r="CG226" s="23"/>
      <c r="CH226" s="27"/>
      <c r="CI226" s="27"/>
      <c r="CJ226" s="28"/>
      <c r="CK226" s="28"/>
      <c r="CL226" s="39" t="s">
        <v>162</v>
      </c>
    </row>
    <row r="227" spans="2:90" ht="17.649999999999999" customHeight="1" x14ac:dyDescent="0.25">
      <c r="B227" s="26"/>
      <c r="C227" s="23"/>
      <c r="D227" s="23"/>
      <c r="E227" s="23"/>
      <c r="F227" s="23"/>
      <c r="G227" s="23" t="s">
        <v>163</v>
      </c>
      <c r="H227" s="23"/>
      <c r="I227" s="23"/>
      <c r="J227" s="23"/>
      <c r="K227" s="23"/>
      <c r="L227" s="23"/>
      <c r="M227" s="23"/>
      <c r="N227" s="23"/>
      <c r="O227" s="23" t="s">
        <v>121</v>
      </c>
      <c r="P227" s="23" t="str">
        <f>TEXT([1]노임및중기단가!I12,"#,##0.#######")</f>
        <v>156,731.</v>
      </c>
      <c r="Q227" s="23"/>
      <c r="R227" s="23"/>
      <c r="S227" s="23"/>
      <c r="T227" s="23"/>
      <c r="U227" s="23"/>
      <c r="V227" s="23"/>
      <c r="W227" s="23"/>
      <c r="X227" s="23" t="s">
        <v>102</v>
      </c>
      <c r="Y227" s="23"/>
      <c r="Z227" s="23"/>
      <c r="AA227" s="23" t="str">
        <f>TEXT(0.62,"#,##0.#######")</f>
        <v>0.62</v>
      </c>
      <c r="AB227" s="23"/>
      <c r="AC227" s="23"/>
      <c r="AD227" s="23"/>
      <c r="AE227" s="23" t="s">
        <v>184</v>
      </c>
      <c r="AF227" s="23"/>
      <c r="AG227" s="23"/>
      <c r="AH227" s="23" t="str">
        <f>TEXT(TRUNC(P227*AA227,1),"#,##0.#")</f>
        <v>97,173.2</v>
      </c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  <c r="BX227" s="23"/>
      <c r="BY227" s="23"/>
      <c r="BZ227" s="23"/>
      <c r="CA227" s="23"/>
      <c r="CB227" s="23"/>
      <c r="CC227" s="23"/>
      <c r="CD227" s="23"/>
      <c r="CE227" s="23"/>
      <c r="CF227" s="23"/>
      <c r="CG227" s="23"/>
      <c r="CH227" s="27"/>
      <c r="CI227" s="27" t="str">
        <f>AH227</f>
        <v>97,173.2</v>
      </c>
      <c r="CJ227" s="28"/>
      <c r="CK227" s="28"/>
      <c r="CL227" s="39"/>
    </row>
    <row r="228" spans="2:90" ht="17.649999999999999" customHeight="1" x14ac:dyDescent="0.25">
      <c r="B228" s="26"/>
      <c r="C228" s="23"/>
      <c r="D228" s="23"/>
      <c r="E228" s="23"/>
      <c r="F228" s="23"/>
      <c r="G228" s="23" t="s">
        <v>207</v>
      </c>
      <c r="H228" s="23"/>
      <c r="I228" s="23"/>
      <c r="J228" s="23"/>
      <c r="K228" s="23"/>
      <c r="L228" s="23"/>
      <c r="M228" s="23"/>
      <c r="N228" s="23"/>
      <c r="O228" s="23" t="s">
        <v>179</v>
      </c>
      <c r="P228" s="23" t="str">
        <f>TEXT([1]노임및중기단가!I8,"#,##0.#######")</f>
        <v>138,290.</v>
      </c>
      <c r="Q228" s="23"/>
      <c r="R228" s="23"/>
      <c r="S228" s="23"/>
      <c r="T228" s="23"/>
      <c r="U228" s="23"/>
      <c r="V228" s="23"/>
      <c r="W228" s="23"/>
      <c r="X228" s="23" t="s">
        <v>175</v>
      </c>
      <c r="Y228" s="23"/>
      <c r="Z228" s="23"/>
      <c r="AA228" s="23" t="str">
        <f>TEXT(0.45,"#,##0.#######")</f>
        <v>0.45</v>
      </c>
      <c r="AB228" s="23"/>
      <c r="AC228" s="23"/>
      <c r="AD228" s="23"/>
      <c r="AE228" s="23" t="s">
        <v>46</v>
      </c>
      <c r="AF228" s="23"/>
      <c r="AG228" s="23"/>
      <c r="AH228" s="23" t="str">
        <f>TEXT(TRUNC(P228*AA228,1),"#,##0.#")</f>
        <v>62,230.5</v>
      </c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  <c r="BX228" s="23"/>
      <c r="BY228" s="23"/>
      <c r="BZ228" s="23"/>
      <c r="CA228" s="23"/>
      <c r="CB228" s="23"/>
      <c r="CC228" s="23"/>
      <c r="CD228" s="23"/>
      <c r="CE228" s="23"/>
      <c r="CF228" s="23"/>
      <c r="CG228" s="23"/>
      <c r="CH228" s="27"/>
      <c r="CI228" s="27" t="str">
        <f>AH228</f>
        <v>62,230.5</v>
      </c>
      <c r="CJ228" s="28"/>
      <c r="CK228" s="28"/>
      <c r="CL228" s="39"/>
    </row>
    <row r="229" spans="2:90" ht="17.649999999999999" customHeight="1" x14ac:dyDescent="0.25">
      <c r="B229" s="26"/>
      <c r="C229" s="23"/>
      <c r="D229" s="23"/>
      <c r="E229" s="23"/>
      <c r="F229" s="23"/>
      <c r="G229" s="23" t="s">
        <v>59</v>
      </c>
      <c r="H229" s="23"/>
      <c r="I229" s="23"/>
      <c r="J229" s="23"/>
      <c r="K229" s="23"/>
      <c r="L229" s="23"/>
      <c r="M229" s="23"/>
      <c r="N229" s="23"/>
      <c r="O229" s="23"/>
      <c r="P229" s="23"/>
      <c r="Q229" s="23" t="s">
        <v>60</v>
      </c>
      <c r="R229" s="23"/>
      <c r="S229" s="23"/>
      <c r="T229" s="23"/>
      <c r="U229" s="23"/>
      <c r="V229" s="23"/>
      <c r="W229" s="23"/>
      <c r="X229" s="23" t="str">
        <f>TEXT(1,"#,##0.#######")</f>
        <v>1.</v>
      </c>
      <c r="Y229" s="23"/>
      <c r="Z229" s="23" t="s">
        <v>61</v>
      </c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  <c r="BX229" s="23"/>
      <c r="BY229" s="23"/>
      <c r="BZ229" s="23"/>
      <c r="CA229" s="23"/>
      <c r="CB229" s="23"/>
      <c r="CC229" s="23"/>
      <c r="CD229" s="23"/>
      <c r="CE229" s="23"/>
      <c r="CF229" s="23"/>
      <c r="CG229" s="23"/>
      <c r="CH229" s="27"/>
      <c r="CI229" s="27"/>
      <c r="CJ229" s="28"/>
      <c r="CK229" s="28"/>
      <c r="CL229" s="39"/>
    </row>
    <row r="230" spans="2:90" ht="17.649999999999999" customHeight="1" x14ac:dyDescent="0.25">
      <c r="B230" s="26"/>
      <c r="C230" s="23"/>
      <c r="D230" s="23"/>
      <c r="E230" s="23"/>
      <c r="F230" s="23"/>
      <c r="G230" s="23"/>
      <c r="H230" s="23"/>
      <c r="I230" s="23"/>
      <c r="J230" s="23"/>
      <c r="K230" s="23"/>
      <c r="L230" s="23" t="s">
        <v>41</v>
      </c>
      <c r="M230" s="23" t="str">
        <f>TEXT(TRUNC(AH227,1),"#,##0.#")</f>
        <v>97,173.2</v>
      </c>
      <c r="N230" s="23"/>
      <c r="O230" s="23"/>
      <c r="P230" s="23"/>
      <c r="Q230" s="23"/>
      <c r="R230" s="23"/>
      <c r="S230" s="23"/>
      <c r="T230" s="23" t="s">
        <v>45</v>
      </c>
      <c r="U230" s="23"/>
      <c r="V230" s="23"/>
      <c r="W230" s="23" t="str">
        <f>TEXT(TRUNC(AH228,1),"#,##0.#")</f>
        <v>62,230.5</v>
      </c>
      <c r="X230" s="23"/>
      <c r="Y230" s="23"/>
      <c r="Z230" s="23"/>
      <c r="AA230" s="23"/>
      <c r="AB230" s="23"/>
      <c r="AC230" s="23" t="s">
        <v>42</v>
      </c>
      <c r="AD230" s="23" t="s">
        <v>48</v>
      </c>
      <c r="AE230" s="23"/>
      <c r="AF230" s="23" t="str">
        <f>TEXT(0.01,"#,##0.#######")</f>
        <v>0.01</v>
      </c>
      <c r="AG230" s="23"/>
      <c r="AH230" s="23"/>
      <c r="AI230" s="23"/>
      <c r="AJ230" s="23" t="s">
        <v>177</v>
      </c>
      <c r="AK230" s="23"/>
      <c r="AL230" s="23" t="str">
        <f>TEXT(TRUNC((M230+W230)*AF230,1),"#,##0.#")</f>
        <v>1,594.</v>
      </c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  <c r="BX230" s="23"/>
      <c r="BY230" s="23"/>
      <c r="BZ230" s="23"/>
      <c r="CA230" s="23"/>
      <c r="CB230" s="23"/>
      <c r="CC230" s="23"/>
      <c r="CD230" s="23"/>
      <c r="CE230" s="23"/>
      <c r="CF230" s="23"/>
      <c r="CG230" s="23"/>
      <c r="CH230" s="27"/>
      <c r="CI230" s="27"/>
      <c r="CJ230" s="28" t="str">
        <f>AL230</f>
        <v>1,594.</v>
      </c>
      <c r="CK230" s="28"/>
      <c r="CL230" s="39"/>
    </row>
    <row r="231" spans="2:90" ht="17.649999999999999" customHeight="1" x14ac:dyDescent="0.25">
      <c r="B231" s="26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  <c r="BX231" s="23"/>
      <c r="BY231" s="23"/>
      <c r="BZ231" s="23"/>
      <c r="CA231" s="23"/>
      <c r="CB231" s="23"/>
      <c r="CC231" s="23"/>
      <c r="CD231" s="23"/>
      <c r="CE231" s="23"/>
      <c r="CF231" s="23"/>
      <c r="CG231" s="23"/>
      <c r="CH231" s="27"/>
      <c r="CI231" s="27"/>
      <c r="CJ231" s="28"/>
      <c r="CK231" s="28"/>
      <c r="CL231" s="39"/>
    </row>
    <row r="232" spans="2:90" ht="17.649999999999999" customHeight="1" x14ac:dyDescent="0.25">
      <c r="B232" s="26"/>
      <c r="C232" s="23"/>
      <c r="D232" s="23" t="s">
        <v>208</v>
      </c>
      <c r="E232" s="23"/>
      <c r="F232" s="23"/>
      <c r="G232" s="23" t="s">
        <v>209</v>
      </c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  <c r="BX232" s="23"/>
      <c r="BY232" s="23"/>
      <c r="BZ232" s="23"/>
      <c r="CA232" s="23"/>
      <c r="CB232" s="23"/>
      <c r="CC232" s="23"/>
      <c r="CD232" s="23"/>
      <c r="CE232" s="23"/>
      <c r="CF232" s="23"/>
      <c r="CG232" s="23"/>
      <c r="CH232" s="27"/>
      <c r="CI232" s="27"/>
      <c r="CJ232" s="28"/>
      <c r="CK232" s="28"/>
      <c r="CL232" s="39"/>
    </row>
    <row r="233" spans="2:90" ht="17.649999999999999" customHeight="1" x14ac:dyDescent="0.25">
      <c r="B233" s="26"/>
      <c r="C233" s="23"/>
      <c r="D233" s="23"/>
      <c r="E233" s="23"/>
      <c r="F233" s="23"/>
      <c r="G233" s="23" t="s">
        <v>210</v>
      </c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  <c r="BX233" s="23"/>
      <c r="BY233" s="23"/>
      <c r="BZ233" s="23"/>
      <c r="CA233" s="23"/>
      <c r="CB233" s="23"/>
      <c r="CC233" s="23"/>
      <c r="CD233" s="23"/>
      <c r="CE233" s="23"/>
      <c r="CF233" s="23"/>
      <c r="CG233" s="23"/>
      <c r="CH233" s="27"/>
      <c r="CI233" s="27"/>
      <c r="CJ233" s="28"/>
      <c r="CK233" s="28"/>
      <c r="CL233" s="39"/>
    </row>
    <row r="234" spans="2:90" ht="17.649999999999999" customHeight="1" x14ac:dyDescent="0.25">
      <c r="B234" s="26"/>
      <c r="C234" s="23"/>
      <c r="D234" s="23"/>
      <c r="E234" s="23"/>
      <c r="F234" s="23"/>
      <c r="G234" s="23"/>
      <c r="H234" s="23" t="s">
        <v>188</v>
      </c>
      <c r="I234" s="23"/>
      <c r="J234" s="23"/>
      <c r="K234" s="23"/>
      <c r="L234" s="23" t="s">
        <v>174</v>
      </c>
      <c r="M234" s="23" t="str">
        <f>TEXT([1]기계경비총괄표!H60,"#,##0.#######")</f>
        <v>417.</v>
      </c>
      <c r="N234" s="23"/>
      <c r="O234" s="23"/>
      <c r="P234" s="23"/>
      <c r="Q234" s="23"/>
      <c r="R234" s="23" t="s">
        <v>175</v>
      </c>
      <c r="S234" s="23"/>
      <c r="T234" s="23"/>
      <c r="U234" s="23" t="str">
        <f>TEXT(3.2,"#,##0.#######")</f>
        <v>3.2</v>
      </c>
      <c r="V234" s="23"/>
      <c r="W234" s="29"/>
      <c r="X234" s="23" t="s">
        <v>176</v>
      </c>
      <c r="Y234" s="23"/>
      <c r="Z234" s="23"/>
      <c r="AA234" s="23" t="s">
        <v>184</v>
      </c>
      <c r="AB234" s="23"/>
      <c r="AC234" s="23"/>
      <c r="AD234" s="23" t="str">
        <f>TEXT(TRUNC(M234*U234,1),"#,##0.#")</f>
        <v>1,334.4</v>
      </c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34"/>
      <c r="BL234" s="34"/>
      <c r="BM234" s="34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  <c r="CG234" s="34"/>
      <c r="CH234" s="27"/>
      <c r="CI234" s="27"/>
      <c r="CJ234" s="28"/>
      <c r="CK234" s="28" t="str">
        <f>AD234</f>
        <v>1,334.4</v>
      </c>
      <c r="CL234" s="57"/>
    </row>
    <row r="235" spans="2:90" ht="17.649999999999999" customHeight="1" x14ac:dyDescent="0.25">
      <c r="B235" s="26"/>
      <c r="C235" s="23"/>
      <c r="D235" s="23"/>
      <c r="E235" s="23"/>
      <c r="F235" s="23"/>
      <c r="G235" s="23" t="s">
        <v>211</v>
      </c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34"/>
      <c r="BL235" s="34"/>
      <c r="BM235" s="34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  <c r="CG235" s="34"/>
      <c r="CH235" s="27"/>
      <c r="CI235" s="27"/>
      <c r="CJ235" s="28"/>
      <c r="CK235" s="28"/>
      <c r="CL235" s="57"/>
    </row>
    <row r="236" spans="2:90" ht="17.649999999999999" customHeight="1" x14ac:dyDescent="0.25">
      <c r="B236" s="26"/>
      <c r="C236" s="23"/>
      <c r="D236" s="23"/>
      <c r="E236" s="23"/>
      <c r="F236" s="23"/>
      <c r="G236" s="23"/>
      <c r="H236" s="23" t="s">
        <v>212</v>
      </c>
      <c r="I236" s="23"/>
      <c r="J236" s="23"/>
      <c r="K236" s="23"/>
      <c r="L236" s="23"/>
      <c r="M236" s="23" t="s">
        <v>179</v>
      </c>
      <c r="N236" s="23" t="str">
        <f>TEXT([1]기계경비총괄표!G62,"#,##0.#######")</f>
        <v>42,267.</v>
      </c>
      <c r="O236" s="23"/>
      <c r="P236" s="23"/>
      <c r="Q236" s="23"/>
      <c r="R236" s="23"/>
      <c r="S236" s="23" t="s">
        <v>175</v>
      </c>
      <c r="T236" s="23"/>
      <c r="U236" s="23"/>
      <c r="V236" s="23" t="str">
        <f>TEXT(1.6,"#,##0.#######")</f>
        <v>1.6</v>
      </c>
      <c r="W236" s="23"/>
      <c r="X236" s="23"/>
      <c r="Y236" s="23" t="s">
        <v>176</v>
      </c>
      <c r="Z236" s="23"/>
      <c r="AA236" s="23"/>
      <c r="AB236" s="23" t="s">
        <v>184</v>
      </c>
      <c r="AC236" s="23"/>
      <c r="AD236" s="23"/>
      <c r="AE236" s="23" t="str">
        <f>TEXT(TRUNC(N236*V236,1),"#,##0.#")</f>
        <v>67,627.2</v>
      </c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34"/>
      <c r="BL236" s="34"/>
      <c r="BM236" s="34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  <c r="CG236" s="34"/>
      <c r="CH236" s="27"/>
      <c r="CI236" s="27" t="str">
        <f>AE236</f>
        <v>67,627.2</v>
      </c>
      <c r="CJ236" s="28"/>
      <c r="CK236" s="28"/>
      <c r="CL236" s="57"/>
    </row>
    <row r="237" spans="2:90" ht="17.649999999999999" customHeight="1" x14ac:dyDescent="0.25">
      <c r="B237" s="26"/>
      <c r="C237" s="23"/>
      <c r="D237" s="23"/>
      <c r="E237" s="23"/>
      <c r="F237" s="23"/>
      <c r="G237" s="23"/>
      <c r="H237" s="23" t="s">
        <v>178</v>
      </c>
      <c r="I237" s="23"/>
      <c r="J237" s="23"/>
      <c r="K237" s="23"/>
      <c r="L237" s="23"/>
      <c r="M237" s="23" t="s">
        <v>179</v>
      </c>
      <c r="N237" s="23" t="str">
        <f>TEXT([1]기계경비총괄표!F62,"#,##0.#######")</f>
        <v>8,939.</v>
      </c>
      <c r="O237" s="23"/>
      <c r="P237" s="23"/>
      <c r="Q237" s="23"/>
      <c r="R237" s="23"/>
      <c r="S237" s="23" t="s">
        <v>175</v>
      </c>
      <c r="T237" s="23"/>
      <c r="U237" s="23"/>
      <c r="V237" s="23" t="str">
        <f>TEXT(1.6,"#,##0.#######")</f>
        <v>1.6</v>
      </c>
      <c r="W237" s="23"/>
      <c r="X237" s="23"/>
      <c r="Y237" s="23" t="s">
        <v>176</v>
      </c>
      <c r="Z237" s="23"/>
      <c r="AA237" s="23"/>
      <c r="AB237" s="23" t="s">
        <v>184</v>
      </c>
      <c r="AC237" s="23"/>
      <c r="AD237" s="23"/>
      <c r="AE237" s="23" t="str">
        <f>TEXT(TRUNC(N237*V237,1),"#,##0.#")</f>
        <v>14,302.4</v>
      </c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34"/>
      <c r="BL237" s="34"/>
      <c r="BM237" s="34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  <c r="CG237" s="34"/>
      <c r="CH237" s="27"/>
      <c r="CI237" s="27"/>
      <c r="CJ237" s="28" t="str">
        <f>AE237</f>
        <v>14,302.4</v>
      </c>
      <c r="CK237" s="28"/>
      <c r="CL237" s="57"/>
    </row>
    <row r="238" spans="2:90" ht="17.649999999999999" customHeight="1" x14ac:dyDescent="0.25">
      <c r="B238" s="22"/>
      <c r="C238" s="23"/>
      <c r="D238" s="23"/>
      <c r="E238" s="23"/>
      <c r="F238" s="23"/>
      <c r="G238" s="23"/>
      <c r="H238" s="23" t="s">
        <v>200</v>
      </c>
      <c r="I238" s="23"/>
      <c r="J238" s="23"/>
      <c r="K238" s="23"/>
      <c r="L238" s="23" t="s">
        <v>179</v>
      </c>
      <c r="M238" s="23"/>
      <c r="N238" s="23" t="str">
        <f>TEXT([1]기계경비총괄표!H62,"#,##0.#######")</f>
        <v>2,095.</v>
      </c>
      <c r="O238" s="23"/>
      <c r="P238" s="23"/>
      <c r="Q238" s="23"/>
      <c r="R238" s="23"/>
      <c r="S238" s="23" t="s">
        <v>175</v>
      </c>
      <c r="T238" s="23"/>
      <c r="U238" s="23"/>
      <c r="V238" s="23" t="str">
        <f>TEXT(1.6,"#,##0.#######")</f>
        <v>1.6</v>
      </c>
      <c r="W238" s="23"/>
      <c r="X238" s="23"/>
      <c r="Y238" s="23" t="s">
        <v>176</v>
      </c>
      <c r="Z238" s="23"/>
      <c r="AA238" s="23"/>
      <c r="AB238" s="23" t="s">
        <v>184</v>
      </c>
      <c r="AC238" s="23"/>
      <c r="AD238" s="23"/>
      <c r="AE238" s="23" t="str">
        <f>TEXT(TRUNC(N238*V238,1),"#,##0.#")</f>
        <v>3,352.</v>
      </c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  <c r="BX238" s="23"/>
      <c r="BY238" s="23"/>
      <c r="BZ238" s="23"/>
      <c r="CA238" s="23"/>
      <c r="CB238" s="23"/>
      <c r="CC238" s="23"/>
      <c r="CD238" s="23"/>
      <c r="CE238" s="23"/>
      <c r="CF238" s="23"/>
      <c r="CG238" s="23"/>
      <c r="CH238" s="24"/>
      <c r="CI238" s="24"/>
      <c r="CJ238" s="25"/>
      <c r="CK238" s="52" t="str">
        <f>AE238</f>
        <v>3,352.</v>
      </c>
      <c r="CL238" s="56"/>
    </row>
    <row r="239" spans="2:90" ht="17.649999999999999" customHeight="1" x14ac:dyDescent="0.25">
      <c r="B239" s="22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  <c r="BX239" s="23"/>
      <c r="BY239" s="23"/>
      <c r="BZ239" s="23"/>
      <c r="CA239" s="23"/>
      <c r="CB239" s="23"/>
      <c r="CC239" s="23"/>
      <c r="CD239" s="23"/>
      <c r="CE239" s="23"/>
      <c r="CF239" s="23"/>
      <c r="CG239" s="23"/>
      <c r="CH239" s="24"/>
      <c r="CI239" s="24"/>
      <c r="CJ239" s="25"/>
      <c r="CK239" s="25"/>
      <c r="CL239" s="56"/>
    </row>
    <row r="240" spans="2:90" ht="17.649999999999999" customHeight="1" x14ac:dyDescent="0.25">
      <c r="B240" s="22"/>
      <c r="C240" s="23"/>
      <c r="D240" s="23"/>
      <c r="E240" s="23"/>
      <c r="F240" s="23"/>
      <c r="G240" s="23" t="s">
        <v>212</v>
      </c>
      <c r="H240" s="23"/>
      <c r="I240" s="23"/>
      <c r="J240" s="23"/>
      <c r="K240" s="23"/>
      <c r="L240" s="23"/>
      <c r="M240" s="23"/>
      <c r="N240" s="23" t="s">
        <v>179</v>
      </c>
      <c r="O240" s="23"/>
      <c r="P240" s="23" t="str">
        <f>AH227</f>
        <v>97,173.2</v>
      </c>
      <c r="Q240" s="23"/>
      <c r="R240" s="23"/>
      <c r="S240" s="23"/>
      <c r="T240" s="23"/>
      <c r="U240" s="23"/>
      <c r="V240" s="23"/>
      <c r="W240" s="23" t="s">
        <v>213</v>
      </c>
      <c r="X240" s="23"/>
      <c r="Y240" s="23" t="str">
        <f>AH228</f>
        <v>62,230.5</v>
      </c>
      <c r="Z240" s="23"/>
      <c r="AA240" s="23"/>
      <c r="AB240" s="23"/>
      <c r="AC240" s="23"/>
      <c r="AD240" s="23"/>
      <c r="AE240" s="23" t="s">
        <v>213</v>
      </c>
      <c r="AF240" s="23"/>
      <c r="AG240" s="23" t="str">
        <f>AE236</f>
        <v>67,627.2</v>
      </c>
      <c r="AH240" s="23"/>
      <c r="AI240" s="23"/>
      <c r="AJ240" s="23"/>
      <c r="AK240" s="23"/>
      <c r="AL240" s="23"/>
      <c r="AM240" s="23" t="s">
        <v>184</v>
      </c>
      <c r="AN240" s="23"/>
      <c r="AO240" s="23" t="str">
        <f>TEXT(TRUNC(P240+Y240+AG240,1),"#,##0.#")</f>
        <v>227,030.9</v>
      </c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  <c r="BX240" s="23"/>
      <c r="BY240" s="23"/>
      <c r="BZ240" s="23"/>
      <c r="CA240" s="23"/>
      <c r="CB240" s="23"/>
      <c r="CC240" s="23"/>
      <c r="CD240" s="23"/>
      <c r="CE240" s="23"/>
      <c r="CF240" s="23"/>
      <c r="CG240" s="23"/>
      <c r="CH240" s="27"/>
      <c r="CI240" s="27"/>
      <c r="CJ240" s="28"/>
      <c r="CK240" s="28"/>
      <c r="CL240" s="39"/>
    </row>
    <row r="241" spans="2:90" ht="17.649999999999999" customHeight="1" x14ac:dyDescent="0.25">
      <c r="B241" s="22"/>
      <c r="C241" s="23"/>
      <c r="D241" s="23"/>
      <c r="E241" s="23"/>
      <c r="F241" s="23"/>
      <c r="G241" s="23" t="s">
        <v>178</v>
      </c>
      <c r="H241" s="23"/>
      <c r="I241" s="23"/>
      <c r="J241" s="23"/>
      <c r="K241" s="23"/>
      <c r="L241" s="23"/>
      <c r="M241" s="23"/>
      <c r="N241" s="23" t="s">
        <v>179</v>
      </c>
      <c r="O241" s="23"/>
      <c r="P241" s="23" t="str">
        <f>AL230</f>
        <v>1,594.</v>
      </c>
      <c r="Q241" s="23"/>
      <c r="R241" s="23"/>
      <c r="S241" s="23"/>
      <c r="T241" s="23"/>
      <c r="U241" s="23"/>
      <c r="V241" s="23"/>
      <c r="W241" s="23" t="s">
        <v>213</v>
      </c>
      <c r="X241" s="23"/>
      <c r="Y241" s="23" t="str">
        <f>AE237</f>
        <v>14,302.4</v>
      </c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 t="s">
        <v>184</v>
      </c>
      <c r="AN241" s="23"/>
      <c r="AO241" s="23" t="str">
        <f>TEXT(TRUNC(P241+Y241+AG241,1),"#,##0.#")</f>
        <v>15,896.4</v>
      </c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  <c r="BX241" s="23"/>
      <c r="BY241" s="23"/>
      <c r="BZ241" s="23"/>
      <c r="CA241" s="23"/>
      <c r="CB241" s="23"/>
      <c r="CC241" s="23"/>
      <c r="CD241" s="23"/>
      <c r="CE241" s="23"/>
      <c r="CF241" s="23"/>
      <c r="CG241" s="23"/>
      <c r="CH241" s="27"/>
      <c r="CI241" s="27"/>
      <c r="CJ241" s="28"/>
      <c r="CK241" s="28"/>
      <c r="CL241" s="39"/>
    </row>
    <row r="242" spans="2:90" ht="17.649999999999999" customHeight="1" x14ac:dyDescent="0.25">
      <c r="B242" s="22"/>
      <c r="C242" s="23"/>
      <c r="D242" s="23"/>
      <c r="E242" s="23"/>
      <c r="F242" s="23"/>
      <c r="G242" s="23" t="s">
        <v>181</v>
      </c>
      <c r="H242" s="23"/>
      <c r="I242" s="23"/>
      <c r="J242" s="23"/>
      <c r="K242" s="23" t="s">
        <v>214</v>
      </c>
      <c r="L242" s="23"/>
      <c r="M242" s="23"/>
      <c r="N242" s="23" t="s">
        <v>179</v>
      </c>
      <c r="O242" s="23"/>
      <c r="P242" s="23" t="str">
        <f>AD234</f>
        <v>1,334.4</v>
      </c>
      <c r="Q242" s="23"/>
      <c r="R242" s="23"/>
      <c r="S242" s="23"/>
      <c r="T242" s="23"/>
      <c r="U242" s="23"/>
      <c r="V242" s="23"/>
      <c r="W242" s="23" t="s">
        <v>213</v>
      </c>
      <c r="X242" s="23"/>
      <c r="Y242" s="23" t="str">
        <f>AE238</f>
        <v>3,352.</v>
      </c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 t="s">
        <v>184</v>
      </c>
      <c r="AN242" s="23"/>
      <c r="AO242" s="23" t="str">
        <f>TEXT(TRUNC(P242+Y242+AG242,1),"#,##0.#")</f>
        <v>4,686.4</v>
      </c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  <c r="BX242" s="23"/>
      <c r="BY242" s="23"/>
      <c r="BZ242" s="23"/>
      <c r="CA242" s="23"/>
      <c r="CB242" s="23"/>
      <c r="CC242" s="23"/>
      <c r="CD242" s="23"/>
      <c r="CE242" s="23"/>
      <c r="CF242" s="23"/>
      <c r="CG242" s="23"/>
      <c r="CH242" s="27"/>
      <c r="CI242" s="27"/>
      <c r="CJ242" s="28"/>
      <c r="CK242" s="28"/>
      <c r="CL242" s="39"/>
    </row>
    <row r="243" spans="2:90" ht="17.649999999999999" customHeight="1" x14ac:dyDescent="0.25">
      <c r="B243" s="22"/>
      <c r="C243" s="23"/>
      <c r="D243" s="23"/>
      <c r="E243" s="23"/>
      <c r="F243" s="23"/>
      <c r="G243" s="23" t="s">
        <v>215</v>
      </c>
      <c r="H243" s="23"/>
      <c r="I243" s="23"/>
      <c r="J243" s="23"/>
      <c r="K243" s="23" t="s">
        <v>216</v>
      </c>
      <c r="L243" s="23"/>
      <c r="M243" s="23"/>
      <c r="N243" s="23" t="s">
        <v>179</v>
      </c>
      <c r="O243" s="23"/>
      <c r="P243" s="23" t="str">
        <f>TEXT(AO240+AO241+AO242,"#,##0.#######")</f>
        <v>247,613.7</v>
      </c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  <c r="BX243" s="23"/>
      <c r="BY243" s="23"/>
      <c r="BZ243" s="23"/>
      <c r="CA243" s="23"/>
      <c r="CB243" s="23"/>
      <c r="CC243" s="23"/>
      <c r="CD243" s="23"/>
      <c r="CE243" s="23"/>
      <c r="CF243" s="23"/>
      <c r="CG243" s="23"/>
      <c r="CH243" s="27">
        <f>CI243+CJ243+CK243</f>
        <v>247613.69999999998</v>
      </c>
      <c r="CI243" s="27" t="str">
        <f>AO240</f>
        <v>227,030.9</v>
      </c>
      <c r="CJ243" s="28" t="str">
        <f>AO241</f>
        <v>15,896.4</v>
      </c>
      <c r="CK243" s="28" t="str">
        <f>AO242</f>
        <v>4,686.4</v>
      </c>
      <c r="CL243" s="39"/>
    </row>
    <row r="244" spans="2:90" ht="17.649999999999999" customHeight="1" x14ac:dyDescent="0.25">
      <c r="B244" s="22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  <c r="BX244" s="23"/>
      <c r="BY244" s="23"/>
      <c r="BZ244" s="23"/>
      <c r="CA244" s="23"/>
      <c r="CB244" s="23"/>
      <c r="CC244" s="23"/>
      <c r="CD244" s="23"/>
      <c r="CE244" s="23"/>
      <c r="CF244" s="23"/>
      <c r="CG244" s="23"/>
      <c r="CH244" s="24"/>
      <c r="CI244" s="24"/>
      <c r="CJ244" s="25"/>
      <c r="CK244" s="25"/>
      <c r="CL244" s="56"/>
    </row>
    <row r="245" spans="2:90" ht="17.649999999999999" customHeight="1" x14ac:dyDescent="0.25">
      <c r="B245" s="46" t="s">
        <v>217</v>
      </c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  <c r="AP245" s="47"/>
      <c r="AQ245" s="47"/>
      <c r="AR245" s="47"/>
      <c r="AS245" s="47"/>
      <c r="AT245" s="47"/>
      <c r="AU245" s="47"/>
      <c r="AV245" s="47"/>
      <c r="AW245" s="47"/>
      <c r="AX245" s="47"/>
      <c r="AY245" s="47"/>
      <c r="AZ245" s="47"/>
      <c r="BA245" s="47"/>
      <c r="BB245" s="47"/>
      <c r="BC245" s="47"/>
      <c r="BD245" s="47"/>
      <c r="BE245" s="47"/>
      <c r="BF245" s="47"/>
      <c r="BG245" s="47"/>
      <c r="BH245" s="47"/>
      <c r="BI245" s="47"/>
      <c r="BJ245" s="47"/>
      <c r="BK245" s="47"/>
      <c r="BL245" s="47"/>
      <c r="BM245" s="47"/>
      <c r="BN245" s="47"/>
      <c r="BO245" s="47"/>
      <c r="BP245" s="47"/>
      <c r="BQ245" s="47"/>
      <c r="BR245" s="47"/>
      <c r="BS245" s="47"/>
      <c r="BT245" s="47"/>
      <c r="BU245" s="47"/>
      <c r="BV245" s="47"/>
      <c r="BW245" s="47"/>
      <c r="BX245" s="47"/>
      <c r="BY245" s="47"/>
      <c r="BZ245" s="47"/>
      <c r="CA245" s="47"/>
      <c r="CB245" s="47"/>
      <c r="CC245" s="47"/>
      <c r="CD245" s="47"/>
      <c r="CE245" s="47"/>
      <c r="CF245" s="47"/>
      <c r="CG245" s="47"/>
      <c r="CH245" s="48">
        <f>TRUNC(CI245+CJ245+CK245,0)</f>
        <v>25926</v>
      </c>
      <c r="CI245" s="48">
        <f>TRUNC(CI248+CI253,0)</f>
        <v>18046</v>
      </c>
      <c r="CJ245" s="49">
        <f>TRUNC(CJ249+CJ256,0)</f>
        <v>2804</v>
      </c>
      <c r="CK245" s="49">
        <f>TRUNC(CK250,0)</f>
        <v>5076</v>
      </c>
      <c r="CL245" s="98">
        <v>8215</v>
      </c>
    </row>
    <row r="246" spans="2:90" ht="17.649999999999999" customHeight="1" x14ac:dyDescent="0.25">
      <c r="B246" s="26"/>
      <c r="C246" s="23"/>
      <c r="D246" s="23" t="s">
        <v>218</v>
      </c>
      <c r="E246" s="23"/>
      <c r="F246" s="23"/>
      <c r="G246" s="23" t="s">
        <v>219</v>
      </c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  <c r="BX246" s="23"/>
      <c r="BY246" s="23"/>
      <c r="BZ246" s="23"/>
      <c r="CA246" s="23"/>
      <c r="CB246" s="23"/>
      <c r="CC246" s="23"/>
      <c r="CD246" s="23"/>
      <c r="CE246" s="23"/>
      <c r="CF246" s="23"/>
      <c r="CG246" s="23"/>
      <c r="CH246" s="27"/>
      <c r="CI246" s="27"/>
      <c r="CJ246" s="28"/>
      <c r="CK246" s="28"/>
      <c r="CL246" s="39" t="s">
        <v>220</v>
      </c>
    </row>
    <row r="247" spans="2:90" ht="17.649999999999999" customHeight="1" x14ac:dyDescent="0.25">
      <c r="B247" s="26"/>
      <c r="C247" s="23"/>
      <c r="D247" s="23"/>
      <c r="E247" s="23"/>
      <c r="F247" s="23"/>
      <c r="G247" s="23" t="s">
        <v>221</v>
      </c>
      <c r="H247" s="23"/>
      <c r="I247" s="23"/>
      <c r="J247" s="23"/>
      <c r="K247" s="23" t="str">
        <f>TEXT(3.3,"#,##0.#######")</f>
        <v>3.3</v>
      </c>
      <c r="L247" s="23"/>
      <c r="M247" s="23"/>
      <c r="N247" s="23" t="s">
        <v>222</v>
      </c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34"/>
      <c r="AE247" s="34"/>
      <c r="AF247" s="34"/>
      <c r="AG247" s="34"/>
      <c r="AH247" s="34"/>
      <c r="AI247" s="34"/>
      <c r="AJ247" s="34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  <c r="BX247" s="23"/>
      <c r="BY247" s="23"/>
      <c r="BZ247" s="23"/>
      <c r="CA247" s="23"/>
      <c r="CB247" s="23"/>
      <c r="CC247" s="23"/>
      <c r="CD247" s="23"/>
      <c r="CE247" s="23"/>
      <c r="CF247" s="23"/>
      <c r="CG247" s="23"/>
      <c r="CH247" s="27"/>
      <c r="CI247" s="27"/>
      <c r="CJ247" s="28"/>
      <c r="CK247" s="28"/>
      <c r="CL247" s="39"/>
    </row>
    <row r="248" spans="2:90" ht="17.649999999999999" customHeight="1" x14ac:dyDescent="0.25">
      <c r="B248" s="26"/>
      <c r="C248" s="23"/>
      <c r="D248" s="23"/>
      <c r="E248" s="23"/>
      <c r="F248" s="23"/>
      <c r="G248" s="23"/>
      <c r="H248" s="23" t="s">
        <v>212</v>
      </c>
      <c r="I248" s="23"/>
      <c r="J248" s="23"/>
      <c r="K248" s="23"/>
      <c r="L248" s="23"/>
      <c r="M248" s="23" t="s">
        <v>179</v>
      </c>
      <c r="N248" s="23" t="str">
        <f>TEXT([1]기계경비총괄표!G10,"#,##0.#######")</f>
        <v>42,267.</v>
      </c>
      <c r="O248" s="23"/>
      <c r="P248" s="23"/>
      <c r="Q248" s="23"/>
      <c r="R248" s="23"/>
      <c r="S248" s="23"/>
      <c r="T248" s="23"/>
      <c r="U248" s="23" t="s">
        <v>186</v>
      </c>
      <c r="V248" s="23"/>
      <c r="W248" s="23"/>
      <c r="X248" s="23" t="str">
        <f>TEXT(K247,"#,##0.#######")</f>
        <v>3.3</v>
      </c>
      <c r="Y248" s="23"/>
      <c r="Z248" s="23"/>
      <c r="AA248" s="23" t="s">
        <v>184</v>
      </c>
      <c r="AB248" s="23"/>
      <c r="AC248" s="23"/>
      <c r="AD248" s="23" t="str">
        <f>TEXT(TRUNC(N248/X248,1),"#,##0.#")</f>
        <v>12,808.1</v>
      </c>
      <c r="AE248" s="23"/>
      <c r="AF248" s="23"/>
      <c r="AG248" s="23"/>
      <c r="AH248" s="23"/>
      <c r="AI248" s="23"/>
      <c r="AJ248" s="23" t="s">
        <v>185</v>
      </c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  <c r="BX248" s="23"/>
      <c r="BY248" s="23"/>
      <c r="BZ248" s="23"/>
      <c r="CA248" s="23"/>
      <c r="CB248" s="23"/>
      <c r="CC248" s="23"/>
      <c r="CD248" s="23"/>
      <c r="CE248" s="23"/>
      <c r="CF248" s="23"/>
      <c r="CG248" s="23"/>
      <c r="CH248" s="27"/>
      <c r="CI248" s="27" t="str">
        <f>AD248</f>
        <v>12,808.1</v>
      </c>
      <c r="CJ248" s="28"/>
      <c r="CK248" s="28"/>
      <c r="CL248" s="39"/>
    </row>
    <row r="249" spans="2:90" ht="17.649999999999999" customHeight="1" x14ac:dyDescent="0.25">
      <c r="B249" s="26"/>
      <c r="C249" s="23"/>
      <c r="D249" s="23"/>
      <c r="E249" s="23"/>
      <c r="F249" s="23"/>
      <c r="G249" s="23"/>
      <c r="H249" s="23" t="s">
        <v>178</v>
      </c>
      <c r="I249" s="23"/>
      <c r="J249" s="23"/>
      <c r="K249" s="23"/>
      <c r="L249" s="23"/>
      <c r="M249" s="23" t="s">
        <v>179</v>
      </c>
      <c r="N249" s="23" t="str">
        <f>TEXT([1]기계경비총괄표!F10,"#,##0.#######")</f>
        <v>8,631.3</v>
      </c>
      <c r="O249" s="23"/>
      <c r="P249" s="23"/>
      <c r="Q249" s="23"/>
      <c r="R249" s="23"/>
      <c r="S249" s="23"/>
      <c r="T249" s="23"/>
      <c r="U249" s="23" t="s">
        <v>186</v>
      </c>
      <c r="V249" s="23"/>
      <c r="W249" s="23"/>
      <c r="X249" s="23" t="str">
        <f>TEXT(K247,"#,##0.#######")</f>
        <v>3.3</v>
      </c>
      <c r="Y249" s="23"/>
      <c r="Z249" s="23"/>
      <c r="AA249" s="23" t="s">
        <v>184</v>
      </c>
      <c r="AB249" s="23"/>
      <c r="AC249" s="23"/>
      <c r="AD249" s="23" t="str">
        <f>TEXT(TRUNC(N249/X249,1),"#,##0.#")</f>
        <v>2,615.5</v>
      </c>
      <c r="AE249" s="23"/>
      <c r="AF249" s="23"/>
      <c r="AG249" s="23"/>
      <c r="AH249" s="23"/>
      <c r="AI249" s="23"/>
      <c r="AJ249" s="23" t="s">
        <v>185</v>
      </c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  <c r="BX249" s="23"/>
      <c r="BY249" s="23"/>
      <c r="BZ249" s="23"/>
      <c r="CA249" s="23"/>
      <c r="CB249" s="23"/>
      <c r="CC249" s="23"/>
      <c r="CD249" s="23"/>
      <c r="CE249" s="23"/>
      <c r="CF249" s="23"/>
      <c r="CG249" s="23"/>
      <c r="CH249" s="27"/>
      <c r="CI249" s="27"/>
      <c r="CJ249" s="28" t="str">
        <f>AD249</f>
        <v>2,615.5</v>
      </c>
      <c r="CK249" s="28"/>
      <c r="CL249" s="39"/>
    </row>
    <row r="250" spans="2:90" ht="17.649999999999999" customHeight="1" x14ac:dyDescent="0.25">
      <c r="B250" s="26"/>
      <c r="C250" s="23"/>
      <c r="D250" s="23"/>
      <c r="E250" s="23"/>
      <c r="F250" s="23"/>
      <c r="G250" s="23"/>
      <c r="H250" s="23" t="s">
        <v>200</v>
      </c>
      <c r="I250" s="23"/>
      <c r="J250" s="23"/>
      <c r="K250" s="23"/>
      <c r="L250" s="23" t="s">
        <v>179</v>
      </c>
      <c r="M250" s="23"/>
      <c r="N250" s="23" t="str">
        <f>TEXT([1]기계경비총괄표!H10,"#,##0.#######")</f>
        <v>16,751.7</v>
      </c>
      <c r="O250" s="23"/>
      <c r="P250" s="23"/>
      <c r="Q250" s="23"/>
      <c r="R250" s="23"/>
      <c r="S250" s="23"/>
      <c r="T250" s="23"/>
      <c r="U250" s="23" t="s">
        <v>186</v>
      </c>
      <c r="V250" s="23"/>
      <c r="W250" s="23"/>
      <c r="X250" s="23" t="str">
        <f>TEXT(K247,"#,##0.#######")</f>
        <v>3.3</v>
      </c>
      <c r="Y250" s="23"/>
      <c r="Z250" s="23"/>
      <c r="AA250" s="23" t="s">
        <v>184</v>
      </c>
      <c r="AB250" s="23"/>
      <c r="AC250" s="23"/>
      <c r="AD250" s="23" t="str">
        <f>TEXT(TRUNC(N250/X250,1),"#,##0.#")</f>
        <v>5,076.2</v>
      </c>
      <c r="AE250" s="23"/>
      <c r="AF250" s="23"/>
      <c r="AG250" s="23"/>
      <c r="AH250" s="23"/>
      <c r="AI250" s="23"/>
      <c r="AJ250" s="23" t="s">
        <v>185</v>
      </c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  <c r="BX250" s="23"/>
      <c r="BY250" s="23"/>
      <c r="BZ250" s="23"/>
      <c r="CA250" s="23"/>
      <c r="CB250" s="23"/>
      <c r="CC250" s="23"/>
      <c r="CD250" s="23"/>
      <c r="CE250" s="23"/>
      <c r="CF250" s="23"/>
      <c r="CG250" s="23"/>
      <c r="CH250" s="27"/>
      <c r="CI250" s="27"/>
      <c r="CJ250" s="28"/>
      <c r="CK250" s="28" t="str">
        <f>AD250</f>
        <v>5,076.2</v>
      </c>
      <c r="CL250" s="39"/>
    </row>
    <row r="251" spans="2:90" ht="17.649999999999999" customHeight="1" x14ac:dyDescent="0.25">
      <c r="B251" s="26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  <c r="BX251" s="23"/>
      <c r="BY251" s="23"/>
      <c r="BZ251" s="23"/>
      <c r="CA251" s="23"/>
      <c r="CB251" s="23"/>
      <c r="CC251" s="23"/>
      <c r="CD251" s="23"/>
      <c r="CE251" s="23"/>
      <c r="CF251" s="23"/>
      <c r="CG251" s="23"/>
      <c r="CH251" s="27"/>
      <c r="CI251" s="27"/>
      <c r="CJ251" s="28"/>
      <c r="CK251" s="28"/>
      <c r="CL251" s="39"/>
    </row>
    <row r="252" spans="2:90" ht="17.649999999999999" customHeight="1" x14ac:dyDescent="0.25">
      <c r="B252" s="26"/>
      <c r="C252" s="23"/>
      <c r="D252" s="23" t="s">
        <v>201</v>
      </c>
      <c r="E252" s="23"/>
      <c r="F252" s="23"/>
      <c r="G252" s="23" t="s">
        <v>202</v>
      </c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  <c r="BX252" s="23"/>
      <c r="BY252" s="23"/>
      <c r="BZ252" s="23"/>
      <c r="CA252" s="23"/>
      <c r="CB252" s="23"/>
      <c r="CC252" s="23"/>
      <c r="CD252" s="23"/>
      <c r="CE252" s="23"/>
      <c r="CF252" s="23"/>
      <c r="CG252" s="23"/>
      <c r="CH252" s="27"/>
      <c r="CI252" s="27"/>
      <c r="CJ252" s="28"/>
      <c r="CK252" s="28"/>
      <c r="CL252" s="39"/>
    </row>
    <row r="253" spans="2:90" ht="17.649999999999999" customHeight="1" x14ac:dyDescent="0.25">
      <c r="B253" s="26"/>
      <c r="C253" s="23"/>
      <c r="D253" s="29"/>
      <c r="E253" s="23"/>
      <c r="F253" s="23"/>
      <c r="G253" s="23"/>
      <c r="H253" s="23" t="s">
        <v>203</v>
      </c>
      <c r="I253" s="23"/>
      <c r="J253" s="23"/>
      <c r="K253" s="23"/>
      <c r="L253" s="23"/>
      <c r="M253" s="23"/>
      <c r="N253" s="23"/>
      <c r="O253" s="23"/>
      <c r="P253" s="23" t="str">
        <f>TEXT([1]노임및중기단가!I8,"#,##0.#######")</f>
        <v>138,290.</v>
      </c>
      <c r="Q253" s="23"/>
      <c r="R253" s="23"/>
      <c r="S253" s="23"/>
      <c r="T253" s="23"/>
      <c r="U253" s="23"/>
      <c r="V253" s="23"/>
      <c r="W253" s="23" t="s">
        <v>175</v>
      </c>
      <c r="X253" s="23"/>
      <c r="Y253" s="23"/>
      <c r="Z253" s="23" t="str">
        <f>TEXT(1,"#,##0.#######")</f>
        <v>1.</v>
      </c>
      <c r="AA253" s="23"/>
      <c r="AB253" s="23" t="s">
        <v>204</v>
      </c>
      <c r="AC253" s="23"/>
      <c r="AD253" s="23"/>
      <c r="AE253" s="23" t="s">
        <v>186</v>
      </c>
      <c r="AF253" s="23"/>
      <c r="AG253" s="23" t="s">
        <v>205</v>
      </c>
      <c r="AH253" s="23" t="str">
        <f>TEXT(8,"#,##0.#######")</f>
        <v>8.</v>
      </c>
      <c r="AI253" s="23"/>
      <c r="AJ253" s="23" t="s">
        <v>176</v>
      </c>
      <c r="AK253" s="23"/>
      <c r="AL253" s="23"/>
      <c r="AM253" s="23" t="s">
        <v>175</v>
      </c>
      <c r="AN253" s="23"/>
      <c r="AO253" s="23"/>
      <c r="AP253" s="23" t="str">
        <f>TEXT(K247,"#,##0.#######")</f>
        <v>3.3</v>
      </c>
      <c r="AQ253" s="23"/>
      <c r="AR253" s="23"/>
      <c r="AS253" s="23" t="s">
        <v>223</v>
      </c>
      <c r="AT253" s="23"/>
      <c r="AU253" s="23"/>
      <c r="AV253" s="23"/>
      <c r="AW253" s="23" t="s">
        <v>184</v>
      </c>
      <c r="AX253" s="23"/>
      <c r="AY253" s="23"/>
      <c r="AZ253" s="23" t="str">
        <f>TEXT(TRUNC(P253*Z253/(AH253*AP253),1),"#,##0.#")</f>
        <v>5,238.2</v>
      </c>
      <c r="BA253" s="23"/>
      <c r="BB253" s="23"/>
      <c r="BC253" s="23"/>
      <c r="BD253" s="23"/>
      <c r="BE253" s="23"/>
      <c r="BF253" s="23" t="s">
        <v>185</v>
      </c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  <c r="BX253" s="23"/>
      <c r="BY253" s="23"/>
      <c r="BZ253" s="23"/>
      <c r="CA253" s="23"/>
      <c r="CB253" s="23"/>
      <c r="CC253" s="23"/>
      <c r="CD253" s="23"/>
      <c r="CE253" s="23"/>
      <c r="CF253" s="23"/>
      <c r="CG253" s="23"/>
      <c r="CH253" s="27"/>
      <c r="CI253" s="27" t="str">
        <f>AZ253</f>
        <v>5,238.2</v>
      </c>
      <c r="CJ253" s="28"/>
      <c r="CK253" s="28"/>
      <c r="CL253" s="39"/>
    </row>
    <row r="254" spans="2:90" ht="17.649999999999999" customHeight="1" x14ac:dyDescent="0.25">
      <c r="B254" s="26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  <c r="CG254" s="34"/>
      <c r="CH254" s="27"/>
      <c r="CI254" s="27"/>
      <c r="CJ254" s="28"/>
      <c r="CK254" s="28"/>
      <c r="CL254" s="57"/>
    </row>
    <row r="255" spans="2:90" ht="17.649999999999999" customHeight="1" x14ac:dyDescent="0.25">
      <c r="B255" s="26"/>
      <c r="C255" s="23"/>
      <c r="D255" s="23" t="s">
        <v>224</v>
      </c>
      <c r="E255" s="23"/>
      <c r="F255" s="23"/>
      <c r="G255" s="23" t="s">
        <v>225</v>
      </c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34"/>
      <c r="BL255" s="34"/>
      <c r="BM255" s="34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  <c r="CG255" s="34"/>
      <c r="CH255" s="27"/>
      <c r="CI255" s="27"/>
      <c r="CJ255" s="28"/>
      <c r="CK255" s="28"/>
      <c r="CL255" s="57"/>
    </row>
    <row r="256" spans="2:90" ht="17.649999999999999" customHeight="1" x14ac:dyDescent="0.25">
      <c r="B256" s="26"/>
      <c r="C256" s="23"/>
      <c r="D256" s="23"/>
      <c r="E256" s="23"/>
      <c r="F256" s="23"/>
      <c r="G256" s="23"/>
      <c r="H256" s="23" t="str">
        <f>TEXT(0.008,"#,##0.#######")</f>
        <v>0.008</v>
      </c>
      <c r="I256" s="23"/>
      <c r="J256" s="23"/>
      <c r="K256" s="23"/>
      <c r="L256" s="23" t="s">
        <v>226</v>
      </c>
      <c r="M256" s="23"/>
      <c r="N256" s="23"/>
      <c r="O256" s="29"/>
      <c r="P256" s="29"/>
      <c r="Q256" s="23" t="s">
        <v>175</v>
      </c>
      <c r="R256" s="23"/>
      <c r="S256" s="23"/>
      <c r="T256" s="23" t="str">
        <f>TEXT([1]자재단가!M85,"#,##0.#######")</f>
        <v>78,100.</v>
      </c>
      <c r="U256" s="23"/>
      <c r="V256" s="23"/>
      <c r="W256" s="23"/>
      <c r="X256" s="23"/>
      <c r="Y256" s="23"/>
      <c r="Z256" s="23"/>
      <c r="AA256" s="23" t="s">
        <v>227</v>
      </c>
      <c r="AB256" s="29"/>
      <c r="AC256" s="29"/>
      <c r="AD256" s="29"/>
      <c r="AE256" s="29"/>
      <c r="AF256" s="23" t="s">
        <v>186</v>
      </c>
      <c r="AG256" s="23"/>
      <c r="AH256" s="23"/>
      <c r="AI256" s="23" t="str">
        <f>TEXT(K247,"#,##0.#######")</f>
        <v>3.3</v>
      </c>
      <c r="AJ256" s="23"/>
      <c r="AK256" s="23"/>
      <c r="AL256" s="23"/>
      <c r="AM256" s="23" t="s">
        <v>222</v>
      </c>
      <c r="AN256" s="23"/>
      <c r="AO256" s="23"/>
      <c r="AP256" s="23"/>
      <c r="AQ256" s="23"/>
      <c r="AR256" s="23"/>
      <c r="AS256" s="23" t="s">
        <v>184</v>
      </c>
      <c r="AT256" s="23"/>
      <c r="AU256" s="23"/>
      <c r="AV256" s="23" t="str">
        <f>TEXT(TRUNC(H256*T256/AI256,1),"#,##0.#")</f>
        <v>189.3</v>
      </c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34"/>
      <c r="BL256" s="34"/>
      <c r="BM256" s="34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  <c r="CG256" s="34"/>
      <c r="CH256" s="27"/>
      <c r="CI256" s="27"/>
      <c r="CJ256" s="28" t="str">
        <f>AV256</f>
        <v>189.3</v>
      </c>
      <c r="CK256" s="28"/>
      <c r="CL256" s="57"/>
    </row>
    <row r="257" spans="2:90" ht="17.649999999999999" customHeight="1" x14ac:dyDescent="0.25">
      <c r="B257" s="26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34"/>
      <c r="BL257" s="34"/>
      <c r="BM257" s="34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  <c r="CG257" s="34"/>
      <c r="CH257" s="27"/>
      <c r="CI257" s="27"/>
      <c r="CJ257" s="28"/>
      <c r="CK257" s="28"/>
      <c r="CL257" s="57"/>
    </row>
    <row r="258" spans="2:90" ht="17.649999999999999" customHeight="1" x14ac:dyDescent="0.25">
      <c r="B258" s="22"/>
      <c r="C258" s="23"/>
      <c r="D258" s="23"/>
      <c r="E258" s="23"/>
      <c r="F258" s="23"/>
      <c r="G258" s="23" t="s">
        <v>52</v>
      </c>
      <c r="H258" s="23"/>
      <c r="I258" s="23"/>
      <c r="J258" s="23"/>
      <c r="K258" s="23"/>
      <c r="L258" s="23"/>
      <c r="M258" s="23"/>
      <c r="N258" s="23" t="s">
        <v>43</v>
      </c>
      <c r="O258" s="23"/>
      <c r="P258" s="23" t="str">
        <f>AD248</f>
        <v>12,808.1</v>
      </c>
      <c r="Q258" s="23"/>
      <c r="R258" s="23"/>
      <c r="S258" s="23"/>
      <c r="T258" s="23"/>
      <c r="U258" s="23"/>
      <c r="V258" s="23"/>
      <c r="W258" s="23" t="s">
        <v>45</v>
      </c>
      <c r="X258" s="23"/>
      <c r="Y258" s="23" t="str">
        <f>AZ253</f>
        <v>5,238.2</v>
      </c>
      <c r="Z258" s="23"/>
      <c r="AA258" s="23"/>
      <c r="AB258" s="23"/>
      <c r="AC258" s="23"/>
      <c r="AD258" s="23"/>
      <c r="AE258" s="23"/>
      <c r="AF258" s="23"/>
      <c r="AG258" s="23">
        <f>AE254</f>
        <v>0</v>
      </c>
      <c r="AH258" s="23"/>
      <c r="AI258" s="23"/>
      <c r="AJ258" s="23"/>
      <c r="AK258" s="23"/>
      <c r="AL258" s="23"/>
      <c r="AM258" s="23" t="s">
        <v>46</v>
      </c>
      <c r="AN258" s="23"/>
      <c r="AO258" s="23" t="str">
        <f>TEXT(TRUNC(P258+Y258,1),"#,##0.#")</f>
        <v>18,046.3</v>
      </c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  <c r="BX258" s="23"/>
      <c r="BY258" s="23"/>
      <c r="BZ258" s="23"/>
      <c r="CA258" s="23"/>
      <c r="CB258" s="23"/>
      <c r="CC258" s="23"/>
      <c r="CD258" s="23"/>
      <c r="CE258" s="23"/>
      <c r="CF258" s="23"/>
      <c r="CG258" s="23"/>
      <c r="CH258" s="24"/>
      <c r="CI258" s="24"/>
      <c r="CJ258" s="25"/>
      <c r="CK258" s="52"/>
      <c r="CL258" s="56"/>
    </row>
    <row r="259" spans="2:90" ht="17.649999999999999" customHeight="1" x14ac:dyDescent="0.25">
      <c r="B259" s="22"/>
      <c r="C259" s="23"/>
      <c r="D259" s="23"/>
      <c r="E259" s="23"/>
      <c r="F259" s="23"/>
      <c r="G259" s="23" t="s">
        <v>53</v>
      </c>
      <c r="H259" s="23"/>
      <c r="I259" s="23"/>
      <c r="J259" s="23"/>
      <c r="K259" s="23"/>
      <c r="L259" s="23"/>
      <c r="M259" s="23"/>
      <c r="N259" s="23" t="s">
        <v>43</v>
      </c>
      <c r="O259" s="23"/>
      <c r="P259" s="23" t="str">
        <f>AD249</f>
        <v>2,615.5</v>
      </c>
      <c r="Q259" s="23"/>
      <c r="R259" s="23"/>
      <c r="S259" s="23"/>
      <c r="T259" s="23"/>
      <c r="U259" s="23"/>
      <c r="V259" s="23"/>
      <c r="W259" s="23" t="s">
        <v>45</v>
      </c>
      <c r="X259" s="23"/>
      <c r="Y259" s="23" t="str">
        <f>AV256</f>
        <v>189.3</v>
      </c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 t="s">
        <v>46</v>
      </c>
      <c r="AN259" s="23"/>
      <c r="AO259" s="23" t="str">
        <f>TEXT(TRUNC(P259+Y259,1),"#,##0.#")</f>
        <v>2,804.8</v>
      </c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  <c r="BX259" s="23"/>
      <c r="BY259" s="23"/>
      <c r="BZ259" s="23"/>
      <c r="CA259" s="23"/>
      <c r="CB259" s="23"/>
      <c r="CC259" s="23"/>
      <c r="CD259" s="23"/>
      <c r="CE259" s="23"/>
      <c r="CF259" s="23"/>
      <c r="CG259" s="23"/>
      <c r="CH259" s="24"/>
      <c r="CI259" s="24"/>
      <c r="CJ259" s="25"/>
      <c r="CK259" s="25"/>
      <c r="CL259" s="56"/>
    </row>
    <row r="260" spans="2:90" ht="17.649999999999999" customHeight="1" x14ac:dyDescent="0.25">
      <c r="B260" s="22"/>
      <c r="C260" s="23"/>
      <c r="D260" s="23"/>
      <c r="E260" s="23"/>
      <c r="F260" s="23"/>
      <c r="G260" s="23" t="s">
        <v>63</v>
      </c>
      <c r="H260" s="23"/>
      <c r="I260" s="23"/>
      <c r="J260" s="23"/>
      <c r="K260" s="23" t="s">
        <v>64</v>
      </c>
      <c r="L260" s="23"/>
      <c r="M260" s="23"/>
      <c r="N260" s="23" t="s">
        <v>43</v>
      </c>
      <c r="O260" s="23"/>
      <c r="P260" s="23" t="str">
        <f>AD250</f>
        <v>5,076.2</v>
      </c>
      <c r="Q260" s="23"/>
      <c r="R260" s="23"/>
      <c r="S260" s="23"/>
      <c r="T260" s="23"/>
      <c r="U260" s="23"/>
      <c r="V260" s="23"/>
      <c r="W260" s="23"/>
      <c r="X260" s="23"/>
      <c r="Y260" s="23">
        <f>AE256</f>
        <v>0</v>
      </c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 t="s">
        <v>46</v>
      </c>
      <c r="AN260" s="23"/>
      <c r="AO260" s="23" t="str">
        <f>TEXT(TRUNC(P260,1),"#,##0.#")</f>
        <v>5,076.2</v>
      </c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  <c r="BX260" s="23"/>
      <c r="BY260" s="23"/>
      <c r="BZ260" s="23"/>
      <c r="CA260" s="23"/>
      <c r="CB260" s="23"/>
      <c r="CC260" s="23"/>
      <c r="CD260" s="23"/>
      <c r="CE260" s="23"/>
      <c r="CF260" s="23"/>
      <c r="CG260" s="23"/>
      <c r="CH260" s="27"/>
      <c r="CI260" s="27"/>
      <c r="CJ260" s="28"/>
      <c r="CK260" s="28"/>
      <c r="CL260" s="39"/>
    </row>
    <row r="261" spans="2:90" ht="17.649999999999999" customHeight="1" x14ac:dyDescent="0.25">
      <c r="B261" s="22"/>
      <c r="C261" s="23"/>
      <c r="D261" s="23"/>
      <c r="E261" s="23"/>
      <c r="F261" s="23"/>
      <c r="G261" s="23" t="s">
        <v>65</v>
      </c>
      <c r="H261" s="23"/>
      <c r="I261" s="23"/>
      <c r="J261" s="23"/>
      <c r="K261" s="23" t="s">
        <v>40</v>
      </c>
      <c r="L261" s="23"/>
      <c r="M261" s="23"/>
      <c r="N261" s="23" t="s">
        <v>43</v>
      </c>
      <c r="O261" s="23"/>
      <c r="P261" s="23" t="str">
        <f>TEXT(AO258+AO259+AO260,"#,##0.#######")</f>
        <v>25,927.3</v>
      </c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  <c r="BX261" s="23"/>
      <c r="BY261" s="23"/>
      <c r="BZ261" s="23"/>
      <c r="CA261" s="23"/>
      <c r="CB261" s="23"/>
      <c r="CC261" s="23"/>
      <c r="CD261" s="23"/>
      <c r="CE261" s="23"/>
      <c r="CF261" s="23"/>
      <c r="CG261" s="23"/>
      <c r="CH261" s="27">
        <f>CI261+CJ261+CK261</f>
        <v>25927.3</v>
      </c>
      <c r="CI261" s="27" t="str">
        <f>AO258</f>
        <v>18,046.3</v>
      </c>
      <c r="CJ261" s="28" t="str">
        <f>AO259</f>
        <v>2,804.8</v>
      </c>
      <c r="CK261" s="28" t="str">
        <f>AO260</f>
        <v>5,076.2</v>
      </c>
      <c r="CL261" s="39"/>
    </row>
    <row r="262" spans="2:90" ht="17.649999999999999" customHeight="1" x14ac:dyDescent="0.25">
      <c r="B262" s="22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  <c r="BX262" s="23"/>
      <c r="BY262" s="23"/>
      <c r="BZ262" s="23"/>
      <c r="CA262" s="23"/>
      <c r="CB262" s="23"/>
      <c r="CC262" s="23"/>
      <c r="CD262" s="23"/>
      <c r="CE262" s="23"/>
      <c r="CF262" s="23"/>
      <c r="CG262" s="23"/>
      <c r="CH262" s="24"/>
      <c r="CI262" s="24"/>
      <c r="CJ262" s="25"/>
      <c r="CK262" s="25"/>
      <c r="CL262" s="56"/>
    </row>
    <row r="263" spans="2:90" ht="17.649999999999999" customHeight="1" x14ac:dyDescent="0.25">
      <c r="B263" s="46" t="s">
        <v>82</v>
      </c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  <c r="AS263" s="47"/>
      <c r="AT263" s="47"/>
      <c r="AU263" s="47"/>
      <c r="AV263" s="47"/>
      <c r="AW263" s="47"/>
      <c r="AX263" s="47"/>
      <c r="AY263" s="47"/>
      <c r="AZ263" s="47"/>
      <c r="BA263" s="47"/>
      <c r="BB263" s="47"/>
      <c r="BC263" s="47"/>
      <c r="BD263" s="47"/>
      <c r="BE263" s="47"/>
      <c r="BF263" s="47"/>
      <c r="BG263" s="47"/>
      <c r="BH263" s="47"/>
      <c r="BI263" s="47"/>
      <c r="BJ263" s="47"/>
      <c r="BK263" s="47"/>
      <c r="BL263" s="47"/>
      <c r="BM263" s="47"/>
      <c r="BN263" s="47"/>
      <c r="BO263" s="47"/>
      <c r="BP263" s="47"/>
      <c r="BQ263" s="47"/>
      <c r="BR263" s="47"/>
      <c r="BS263" s="47"/>
      <c r="BT263" s="47"/>
      <c r="BU263" s="47"/>
      <c r="BV263" s="47"/>
      <c r="BW263" s="47"/>
      <c r="BX263" s="47"/>
      <c r="BY263" s="47"/>
      <c r="BZ263" s="47"/>
      <c r="CA263" s="47"/>
      <c r="CB263" s="47"/>
      <c r="CC263" s="47"/>
      <c r="CD263" s="47"/>
      <c r="CE263" s="47"/>
      <c r="CF263" s="47"/>
      <c r="CG263" s="47"/>
      <c r="CH263" s="48">
        <f>TRUNC(CI263+CJ263+CK263,0)</f>
        <v>25036</v>
      </c>
      <c r="CI263" s="48">
        <f>TRUNC(CI266+CI271,0)</f>
        <v>18046</v>
      </c>
      <c r="CJ263" s="49">
        <f>TRUNC(CJ267+CJ274,0)</f>
        <v>2468</v>
      </c>
      <c r="CK263" s="49">
        <f>TRUNC(CK268,0)</f>
        <v>4522</v>
      </c>
      <c r="CL263" s="98">
        <v>8215</v>
      </c>
    </row>
    <row r="264" spans="2:90" ht="17.649999999999999" customHeight="1" x14ac:dyDescent="0.25">
      <c r="B264" s="26"/>
      <c r="C264" s="23"/>
      <c r="D264" s="23" t="s">
        <v>62</v>
      </c>
      <c r="E264" s="23"/>
      <c r="F264" s="23"/>
      <c r="G264" s="23" t="s">
        <v>74</v>
      </c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  <c r="BX264" s="23"/>
      <c r="BY264" s="23"/>
      <c r="BZ264" s="23"/>
      <c r="CA264" s="23"/>
      <c r="CB264" s="23"/>
      <c r="CC264" s="23"/>
      <c r="CD264" s="23"/>
      <c r="CE264" s="23"/>
      <c r="CF264" s="23"/>
      <c r="CG264" s="23"/>
      <c r="CH264" s="27"/>
      <c r="CI264" s="27"/>
      <c r="CJ264" s="28"/>
      <c r="CK264" s="28"/>
      <c r="CL264" s="39" t="s">
        <v>89</v>
      </c>
    </row>
    <row r="265" spans="2:90" ht="17.649999999999999" customHeight="1" x14ac:dyDescent="0.25">
      <c r="B265" s="26"/>
      <c r="C265" s="23"/>
      <c r="D265" s="23"/>
      <c r="E265" s="23"/>
      <c r="F265" s="23"/>
      <c r="G265" s="23" t="s">
        <v>68</v>
      </c>
      <c r="H265" s="23"/>
      <c r="I265" s="23"/>
      <c r="J265" s="23"/>
      <c r="K265" s="23" t="str">
        <f>TEXT(3.3,"#,##0.#######")</f>
        <v>3.3</v>
      </c>
      <c r="L265" s="23"/>
      <c r="M265" s="23"/>
      <c r="N265" s="23" t="s">
        <v>69</v>
      </c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34"/>
      <c r="AE265" s="34"/>
      <c r="AF265" s="34"/>
      <c r="AG265" s="34"/>
      <c r="AH265" s="34"/>
      <c r="AI265" s="34"/>
      <c r="AJ265" s="34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  <c r="BX265" s="23"/>
      <c r="BY265" s="23"/>
      <c r="BZ265" s="23"/>
      <c r="CA265" s="23"/>
      <c r="CB265" s="23"/>
      <c r="CC265" s="23"/>
      <c r="CD265" s="23"/>
      <c r="CE265" s="23"/>
      <c r="CF265" s="23"/>
      <c r="CG265" s="23"/>
      <c r="CH265" s="27"/>
      <c r="CI265" s="27"/>
      <c r="CJ265" s="28"/>
      <c r="CK265" s="28"/>
      <c r="CL265" s="39"/>
    </row>
    <row r="266" spans="2:90" ht="17.649999999999999" customHeight="1" x14ac:dyDescent="0.25">
      <c r="B266" s="26"/>
      <c r="C266" s="23"/>
      <c r="D266" s="23"/>
      <c r="E266" s="23"/>
      <c r="F266" s="23"/>
      <c r="G266" s="23"/>
      <c r="H266" s="23" t="s">
        <v>52</v>
      </c>
      <c r="I266" s="23"/>
      <c r="J266" s="23"/>
      <c r="K266" s="23"/>
      <c r="L266" s="23"/>
      <c r="M266" s="23" t="s">
        <v>43</v>
      </c>
      <c r="N266" s="23" t="str">
        <f>TEXT([1]기계경비총괄표!G12,"#,##0.#######")</f>
        <v>42,267.</v>
      </c>
      <c r="O266" s="23"/>
      <c r="P266" s="23"/>
      <c r="Q266" s="23"/>
      <c r="R266" s="23"/>
      <c r="S266" s="23"/>
      <c r="T266" s="23"/>
      <c r="U266" s="23" t="s">
        <v>47</v>
      </c>
      <c r="V266" s="23"/>
      <c r="W266" s="23"/>
      <c r="X266" s="23" t="str">
        <f>TEXT(K265,"#,##0.#######")</f>
        <v>3.3</v>
      </c>
      <c r="Y266" s="23"/>
      <c r="Z266" s="23"/>
      <c r="AA266" s="23" t="s">
        <v>46</v>
      </c>
      <c r="AB266" s="23"/>
      <c r="AC266" s="23"/>
      <c r="AD266" s="23" t="str">
        <f>TEXT(TRUNC(N266/X266,1),"#,##0.#")</f>
        <v>12,808.1</v>
      </c>
      <c r="AE266" s="23"/>
      <c r="AF266" s="23"/>
      <c r="AG266" s="23"/>
      <c r="AH266" s="23"/>
      <c r="AI266" s="23"/>
      <c r="AJ266" s="23" t="s">
        <v>66</v>
      </c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  <c r="BX266" s="23"/>
      <c r="BY266" s="23"/>
      <c r="BZ266" s="23"/>
      <c r="CA266" s="23"/>
      <c r="CB266" s="23"/>
      <c r="CC266" s="23"/>
      <c r="CD266" s="23"/>
      <c r="CE266" s="23"/>
      <c r="CF266" s="23"/>
      <c r="CG266" s="23"/>
      <c r="CH266" s="27"/>
      <c r="CI266" s="27" t="str">
        <f>AD266</f>
        <v>12,808.1</v>
      </c>
      <c r="CJ266" s="28"/>
      <c r="CK266" s="28"/>
      <c r="CL266" s="39"/>
    </row>
    <row r="267" spans="2:90" ht="17.649999999999999" customHeight="1" x14ac:dyDescent="0.25">
      <c r="B267" s="26"/>
      <c r="C267" s="23"/>
      <c r="D267" s="23"/>
      <c r="E267" s="23"/>
      <c r="F267" s="23"/>
      <c r="G267" s="23"/>
      <c r="H267" s="23" t="s">
        <v>53</v>
      </c>
      <c r="I267" s="23"/>
      <c r="J267" s="23"/>
      <c r="K267" s="23"/>
      <c r="L267" s="23"/>
      <c r="M267" s="23" t="s">
        <v>43</v>
      </c>
      <c r="N267" s="23" t="str">
        <f>TEXT([1]기계경비총괄표!F12,"#,##0.#######")</f>
        <v>7,520.1</v>
      </c>
      <c r="O267" s="23"/>
      <c r="P267" s="23"/>
      <c r="Q267" s="23"/>
      <c r="R267" s="23"/>
      <c r="S267" s="23"/>
      <c r="T267" s="23"/>
      <c r="U267" s="23" t="s">
        <v>47</v>
      </c>
      <c r="V267" s="23"/>
      <c r="W267" s="23"/>
      <c r="X267" s="23" t="str">
        <f>TEXT(K265,"#,##0.#######")</f>
        <v>3.3</v>
      </c>
      <c r="Y267" s="23"/>
      <c r="Z267" s="23"/>
      <c r="AA267" s="23" t="s">
        <v>46</v>
      </c>
      <c r="AB267" s="23"/>
      <c r="AC267" s="23"/>
      <c r="AD267" s="23" t="str">
        <f>TEXT(TRUNC(N267/X267,1),"#,##0.#")</f>
        <v>2,278.8</v>
      </c>
      <c r="AE267" s="23"/>
      <c r="AF267" s="23"/>
      <c r="AG267" s="23"/>
      <c r="AH267" s="23"/>
      <c r="AI267" s="23"/>
      <c r="AJ267" s="23" t="s">
        <v>66</v>
      </c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  <c r="BX267" s="23"/>
      <c r="BY267" s="23"/>
      <c r="BZ267" s="23"/>
      <c r="CA267" s="23"/>
      <c r="CB267" s="23"/>
      <c r="CC267" s="23"/>
      <c r="CD267" s="23"/>
      <c r="CE267" s="23"/>
      <c r="CF267" s="23"/>
      <c r="CG267" s="23"/>
      <c r="CH267" s="27"/>
      <c r="CI267" s="27"/>
      <c r="CJ267" s="28" t="str">
        <f>AD267</f>
        <v>2,278.8</v>
      </c>
      <c r="CK267" s="28"/>
      <c r="CL267" s="39"/>
    </row>
    <row r="268" spans="2:90" ht="17.649999999999999" customHeight="1" x14ac:dyDescent="0.25">
      <c r="B268" s="26"/>
      <c r="C268" s="23"/>
      <c r="D268" s="23"/>
      <c r="E268" s="23"/>
      <c r="F268" s="23"/>
      <c r="G268" s="23"/>
      <c r="H268" s="23" t="s">
        <v>171</v>
      </c>
      <c r="I268" s="23"/>
      <c r="J268" s="23"/>
      <c r="K268" s="23"/>
      <c r="L268" s="23" t="s">
        <v>43</v>
      </c>
      <c r="M268" s="23"/>
      <c r="N268" s="23" t="str">
        <f>TEXT([1]기계경비총괄표!H12,"#,##0.#######")</f>
        <v>14,923.4</v>
      </c>
      <c r="O268" s="23"/>
      <c r="P268" s="23"/>
      <c r="Q268" s="23"/>
      <c r="R268" s="23"/>
      <c r="S268" s="23"/>
      <c r="T268" s="23"/>
      <c r="U268" s="23" t="s">
        <v>47</v>
      </c>
      <c r="V268" s="23"/>
      <c r="W268" s="23"/>
      <c r="X268" s="23" t="str">
        <f>TEXT(K265,"#,##0.#######")</f>
        <v>3.3</v>
      </c>
      <c r="Y268" s="23"/>
      <c r="Z268" s="23"/>
      <c r="AA268" s="23" t="s">
        <v>46</v>
      </c>
      <c r="AB268" s="23"/>
      <c r="AC268" s="23"/>
      <c r="AD268" s="23" t="str">
        <f>TEXT(TRUNC(N268/X268,1),"#,##0.#")</f>
        <v>4,522.2</v>
      </c>
      <c r="AE268" s="23"/>
      <c r="AF268" s="23"/>
      <c r="AG268" s="23"/>
      <c r="AH268" s="23"/>
      <c r="AI268" s="23"/>
      <c r="AJ268" s="23" t="s">
        <v>66</v>
      </c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  <c r="BX268" s="23"/>
      <c r="BY268" s="23"/>
      <c r="BZ268" s="23"/>
      <c r="CA268" s="23"/>
      <c r="CB268" s="23"/>
      <c r="CC268" s="23"/>
      <c r="CD268" s="23"/>
      <c r="CE268" s="23"/>
      <c r="CF268" s="23"/>
      <c r="CG268" s="23"/>
      <c r="CH268" s="27"/>
      <c r="CI268" s="27"/>
      <c r="CJ268" s="28"/>
      <c r="CK268" s="28" t="str">
        <f>AD268</f>
        <v>4,522.2</v>
      </c>
      <c r="CL268" s="39"/>
    </row>
    <row r="269" spans="2:90" ht="17.649999999999999" customHeight="1" x14ac:dyDescent="0.25">
      <c r="B269" s="26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  <c r="BX269" s="23"/>
      <c r="BY269" s="23"/>
      <c r="BZ269" s="23"/>
      <c r="CA269" s="23"/>
      <c r="CB269" s="23"/>
      <c r="CC269" s="23"/>
      <c r="CD269" s="23"/>
      <c r="CE269" s="23"/>
      <c r="CF269" s="23"/>
      <c r="CG269" s="23"/>
      <c r="CH269" s="27"/>
      <c r="CI269" s="27"/>
      <c r="CJ269" s="28"/>
      <c r="CK269" s="28"/>
      <c r="CL269" s="39"/>
    </row>
    <row r="270" spans="2:90" ht="17.649999999999999" customHeight="1" x14ac:dyDescent="0.25">
      <c r="B270" s="26"/>
      <c r="C270" s="23"/>
      <c r="D270" s="23" t="s">
        <v>49</v>
      </c>
      <c r="E270" s="23"/>
      <c r="F270" s="23"/>
      <c r="G270" s="23" t="s">
        <v>70</v>
      </c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  <c r="BX270" s="23"/>
      <c r="BY270" s="23"/>
      <c r="BZ270" s="23"/>
      <c r="CA270" s="23"/>
      <c r="CB270" s="23"/>
      <c r="CC270" s="23"/>
      <c r="CD270" s="23"/>
      <c r="CE270" s="23"/>
      <c r="CF270" s="23"/>
      <c r="CG270" s="23"/>
      <c r="CH270" s="27"/>
      <c r="CI270" s="27"/>
      <c r="CJ270" s="28"/>
      <c r="CK270" s="28"/>
      <c r="CL270" s="39"/>
    </row>
    <row r="271" spans="2:90" ht="17.649999999999999" customHeight="1" x14ac:dyDescent="0.25">
      <c r="B271" s="26"/>
      <c r="C271" s="23"/>
      <c r="D271" s="29"/>
      <c r="E271" s="23"/>
      <c r="F271" s="23"/>
      <c r="G271" s="23"/>
      <c r="H271" s="23" t="s">
        <v>71</v>
      </c>
      <c r="I271" s="23"/>
      <c r="J271" s="23"/>
      <c r="K271" s="23"/>
      <c r="L271" s="23"/>
      <c r="M271" s="23"/>
      <c r="N271" s="23"/>
      <c r="O271" s="23"/>
      <c r="P271" s="23" t="str">
        <f>TEXT([1]노임및중기단가!I8,"#,##0.#######")</f>
        <v>138,290.</v>
      </c>
      <c r="Q271" s="23"/>
      <c r="R271" s="23"/>
      <c r="S271" s="23"/>
      <c r="T271" s="23"/>
      <c r="U271" s="23"/>
      <c r="V271" s="23"/>
      <c r="W271" s="23" t="s">
        <v>48</v>
      </c>
      <c r="X271" s="23"/>
      <c r="Y271" s="23"/>
      <c r="Z271" s="23" t="str">
        <f>TEXT(1,"#,##0.#######")</f>
        <v>1.</v>
      </c>
      <c r="AA271" s="23"/>
      <c r="AB271" s="23" t="s">
        <v>44</v>
      </c>
      <c r="AC271" s="23"/>
      <c r="AD271" s="23"/>
      <c r="AE271" s="23" t="s">
        <v>47</v>
      </c>
      <c r="AF271" s="23"/>
      <c r="AG271" s="23" t="s">
        <v>41</v>
      </c>
      <c r="AH271" s="23" t="str">
        <f>TEXT(8,"#,##0.#######")</f>
        <v>8.</v>
      </c>
      <c r="AI271" s="23"/>
      <c r="AJ271" s="23" t="s">
        <v>50</v>
      </c>
      <c r="AK271" s="23"/>
      <c r="AL271" s="23"/>
      <c r="AM271" s="23" t="s">
        <v>48</v>
      </c>
      <c r="AN271" s="23"/>
      <c r="AO271" s="23"/>
      <c r="AP271" s="23" t="str">
        <f>TEXT(K265,"#,##0.#######")</f>
        <v>3.3</v>
      </c>
      <c r="AQ271" s="23"/>
      <c r="AR271" s="23"/>
      <c r="AS271" s="23" t="s">
        <v>42</v>
      </c>
      <c r="AT271" s="23"/>
      <c r="AU271" s="23"/>
      <c r="AV271" s="23"/>
      <c r="AW271" s="23" t="s">
        <v>46</v>
      </c>
      <c r="AX271" s="23"/>
      <c r="AY271" s="23"/>
      <c r="AZ271" s="23" t="str">
        <f>TEXT(TRUNC(P271*Z271/(AH271*AP271),1),"#,##0.#")</f>
        <v>5,238.2</v>
      </c>
      <c r="BA271" s="23"/>
      <c r="BB271" s="23"/>
      <c r="BC271" s="23"/>
      <c r="BD271" s="23"/>
      <c r="BE271" s="23"/>
      <c r="BF271" s="23" t="s">
        <v>66</v>
      </c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  <c r="BX271" s="23"/>
      <c r="BY271" s="23"/>
      <c r="BZ271" s="23"/>
      <c r="CA271" s="23"/>
      <c r="CB271" s="23"/>
      <c r="CC271" s="23"/>
      <c r="CD271" s="23"/>
      <c r="CE271" s="23"/>
      <c r="CF271" s="23"/>
      <c r="CG271" s="23"/>
      <c r="CH271" s="27"/>
      <c r="CI271" s="27" t="str">
        <f>AZ271</f>
        <v>5,238.2</v>
      </c>
      <c r="CJ271" s="28"/>
      <c r="CK271" s="28"/>
      <c r="CL271" s="39"/>
    </row>
    <row r="272" spans="2:90" ht="17.649999999999999" customHeight="1" x14ac:dyDescent="0.25">
      <c r="B272" s="26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34"/>
      <c r="BR272" s="34"/>
      <c r="BS272" s="34"/>
      <c r="BT272" s="34"/>
      <c r="BU272" s="34"/>
      <c r="BV272" s="34"/>
      <c r="BW272" s="34"/>
      <c r="BX272" s="34"/>
      <c r="BY272" s="34"/>
      <c r="BZ272" s="34"/>
      <c r="CA272" s="34"/>
      <c r="CB272" s="34"/>
      <c r="CC272" s="34"/>
      <c r="CD272" s="34"/>
      <c r="CE272" s="34"/>
      <c r="CF272" s="34"/>
      <c r="CG272" s="34"/>
      <c r="CH272" s="27"/>
      <c r="CI272" s="27"/>
      <c r="CJ272" s="28"/>
      <c r="CK272" s="28"/>
      <c r="CL272" s="57"/>
    </row>
    <row r="273" spans="2:90" ht="17.649999999999999" customHeight="1" x14ac:dyDescent="0.25">
      <c r="B273" s="26"/>
      <c r="C273" s="23"/>
      <c r="D273" s="23" t="s">
        <v>51</v>
      </c>
      <c r="E273" s="23"/>
      <c r="F273" s="23"/>
      <c r="G273" s="23" t="s">
        <v>76</v>
      </c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34"/>
      <c r="BL273" s="34"/>
      <c r="BM273" s="34"/>
      <c r="BN273" s="34"/>
      <c r="BO273" s="34"/>
      <c r="BP273" s="34"/>
      <c r="BQ273" s="34"/>
      <c r="BR273" s="34"/>
      <c r="BS273" s="34"/>
      <c r="BT273" s="34"/>
      <c r="BU273" s="34"/>
      <c r="BV273" s="34"/>
      <c r="BW273" s="34"/>
      <c r="BX273" s="34"/>
      <c r="BY273" s="34"/>
      <c r="BZ273" s="34"/>
      <c r="CA273" s="34"/>
      <c r="CB273" s="34"/>
      <c r="CC273" s="34"/>
      <c r="CD273" s="34"/>
      <c r="CE273" s="34"/>
      <c r="CF273" s="34"/>
      <c r="CG273" s="34"/>
      <c r="CH273" s="27"/>
      <c r="CI273" s="27"/>
      <c r="CJ273" s="28"/>
      <c r="CK273" s="28"/>
      <c r="CL273" s="57"/>
    </row>
    <row r="274" spans="2:90" ht="17.649999999999999" customHeight="1" x14ac:dyDescent="0.25">
      <c r="B274" s="26"/>
      <c r="C274" s="23"/>
      <c r="D274" s="23"/>
      <c r="E274" s="23"/>
      <c r="F274" s="23"/>
      <c r="G274" s="23"/>
      <c r="H274" s="23" t="str">
        <f>TEXT(0.008,"#,##0.#######")</f>
        <v>0.008</v>
      </c>
      <c r="I274" s="23"/>
      <c r="J274" s="23"/>
      <c r="K274" s="23"/>
      <c r="L274" s="23" t="s">
        <v>228</v>
      </c>
      <c r="M274" s="23"/>
      <c r="N274" s="23"/>
      <c r="O274" s="29"/>
      <c r="P274" s="29"/>
      <c r="Q274" s="23" t="s">
        <v>102</v>
      </c>
      <c r="R274" s="23"/>
      <c r="S274" s="23"/>
      <c r="T274" s="23" t="str">
        <f>TEXT([1]자재단가!M85,"#,##0.#######")</f>
        <v>78,100.</v>
      </c>
      <c r="U274" s="23"/>
      <c r="V274" s="23"/>
      <c r="W274" s="23"/>
      <c r="X274" s="23"/>
      <c r="Y274" s="23"/>
      <c r="Z274" s="23"/>
      <c r="AA274" s="23" t="s">
        <v>229</v>
      </c>
      <c r="AB274" s="29"/>
      <c r="AC274" s="29"/>
      <c r="AD274" s="29"/>
      <c r="AE274" s="29"/>
      <c r="AF274" s="23" t="s">
        <v>122</v>
      </c>
      <c r="AG274" s="23"/>
      <c r="AH274" s="23"/>
      <c r="AI274" s="23" t="str">
        <f>TEXT(K265,"#,##0.#######")</f>
        <v>3.3</v>
      </c>
      <c r="AJ274" s="23"/>
      <c r="AK274" s="23"/>
      <c r="AL274" s="23"/>
      <c r="AM274" s="23" t="s">
        <v>183</v>
      </c>
      <c r="AN274" s="23"/>
      <c r="AO274" s="23"/>
      <c r="AP274" s="23"/>
      <c r="AQ274" s="23"/>
      <c r="AR274" s="23"/>
      <c r="AS274" s="23" t="s">
        <v>103</v>
      </c>
      <c r="AT274" s="23"/>
      <c r="AU274" s="23"/>
      <c r="AV274" s="23" t="str">
        <f>TEXT(TRUNC(H274*T274/AI274,1),"#,##0.#")</f>
        <v>189.3</v>
      </c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34"/>
      <c r="BL274" s="34"/>
      <c r="BM274" s="34"/>
      <c r="BN274" s="34"/>
      <c r="BO274" s="34"/>
      <c r="BP274" s="34"/>
      <c r="BQ274" s="34"/>
      <c r="BR274" s="34"/>
      <c r="BS274" s="34"/>
      <c r="BT274" s="34"/>
      <c r="BU274" s="34"/>
      <c r="BV274" s="34"/>
      <c r="BW274" s="34"/>
      <c r="BX274" s="34"/>
      <c r="BY274" s="34"/>
      <c r="BZ274" s="34"/>
      <c r="CA274" s="34"/>
      <c r="CB274" s="34"/>
      <c r="CC274" s="34"/>
      <c r="CD274" s="34"/>
      <c r="CE274" s="34"/>
      <c r="CF274" s="34"/>
      <c r="CG274" s="34"/>
      <c r="CH274" s="27"/>
      <c r="CI274" s="27"/>
      <c r="CJ274" s="28" t="str">
        <f>AV274</f>
        <v>189.3</v>
      </c>
      <c r="CK274" s="28"/>
      <c r="CL274" s="57"/>
    </row>
    <row r="275" spans="2:90" ht="17.649999999999999" customHeight="1" x14ac:dyDescent="0.25">
      <c r="B275" s="26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34"/>
      <c r="BL275" s="34"/>
      <c r="BM275" s="34"/>
      <c r="BN275" s="34"/>
      <c r="BO275" s="34"/>
      <c r="BP275" s="34"/>
      <c r="BQ275" s="34"/>
      <c r="BR275" s="34"/>
      <c r="BS275" s="34"/>
      <c r="BT275" s="34"/>
      <c r="BU275" s="34"/>
      <c r="BV275" s="34"/>
      <c r="BW275" s="34"/>
      <c r="BX275" s="34"/>
      <c r="BY275" s="34"/>
      <c r="BZ275" s="34"/>
      <c r="CA275" s="34"/>
      <c r="CB275" s="34"/>
      <c r="CC275" s="34"/>
      <c r="CD275" s="34"/>
      <c r="CE275" s="34"/>
      <c r="CF275" s="34"/>
      <c r="CG275" s="34"/>
      <c r="CH275" s="27"/>
      <c r="CI275" s="27"/>
      <c r="CJ275" s="28"/>
      <c r="CK275" s="28"/>
      <c r="CL275" s="57"/>
    </row>
    <row r="276" spans="2:90" ht="17.649999999999999" customHeight="1" x14ac:dyDescent="0.25">
      <c r="B276" s="22"/>
      <c r="C276" s="23"/>
      <c r="D276" s="23"/>
      <c r="E276" s="23"/>
      <c r="F276" s="23"/>
      <c r="G276" s="23" t="s">
        <v>52</v>
      </c>
      <c r="H276" s="23"/>
      <c r="I276" s="23"/>
      <c r="J276" s="23"/>
      <c r="K276" s="23"/>
      <c r="L276" s="23"/>
      <c r="M276" s="23"/>
      <c r="N276" s="23" t="s">
        <v>43</v>
      </c>
      <c r="O276" s="23"/>
      <c r="P276" s="23" t="str">
        <f>AD266</f>
        <v>12,808.1</v>
      </c>
      <c r="Q276" s="23"/>
      <c r="R276" s="23"/>
      <c r="S276" s="23"/>
      <c r="T276" s="23"/>
      <c r="U276" s="23"/>
      <c r="V276" s="23"/>
      <c r="W276" s="23" t="s">
        <v>45</v>
      </c>
      <c r="X276" s="23"/>
      <c r="Y276" s="23" t="str">
        <f>AZ271</f>
        <v>5,238.2</v>
      </c>
      <c r="Z276" s="23"/>
      <c r="AA276" s="23"/>
      <c r="AB276" s="23"/>
      <c r="AC276" s="23"/>
      <c r="AD276" s="23"/>
      <c r="AE276" s="23"/>
      <c r="AF276" s="23"/>
      <c r="AG276" s="23">
        <f>AE272</f>
        <v>0</v>
      </c>
      <c r="AH276" s="23"/>
      <c r="AI276" s="23"/>
      <c r="AJ276" s="23"/>
      <c r="AK276" s="23"/>
      <c r="AL276" s="23"/>
      <c r="AM276" s="23" t="s">
        <v>46</v>
      </c>
      <c r="AN276" s="23"/>
      <c r="AO276" s="23" t="str">
        <f>TEXT(TRUNC(P276+Y276,1),"#,##0.#")</f>
        <v>18,046.3</v>
      </c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  <c r="BX276" s="23"/>
      <c r="BY276" s="23"/>
      <c r="BZ276" s="23"/>
      <c r="CA276" s="23"/>
      <c r="CB276" s="23"/>
      <c r="CC276" s="23"/>
      <c r="CD276" s="23"/>
      <c r="CE276" s="23"/>
      <c r="CF276" s="23"/>
      <c r="CG276" s="23"/>
      <c r="CH276" s="24"/>
      <c r="CI276" s="24"/>
      <c r="CJ276" s="25"/>
      <c r="CK276" s="52"/>
      <c r="CL276" s="56"/>
    </row>
    <row r="277" spans="2:90" ht="17.649999999999999" customHeight="1" x14ac:dyDescent="0.25">
      <c r="B277" s="22"/>
      <c r="C277" s="23"/>
      <c r="D277" s="23"/>
      <c r="E277" s="23"/>
      <c r="F277" s="23"/>
      <c r="G277" s="23" t="s">
        <v>53</v>
      </c>
      <c r="H277" s="23"/>
      <c r="I277" s="23"/>
      <c r="J277" s="23"/>
      <c r="K277" s="23"/>
      <c r="L277" s="23"/>
      <c r="M277" s="23"/>
      <c r="N277" s="23" t="s">
        <v>43</v>
      </c>
      <c r="O277" s="23"/>
      <c r="P277" s="23" t="str">
        <f>AD267</f>
        <v>2,278.8</v>
      </c>
      <c r="Q277" s="23"/>
      <c r="R277" s="23"/>
      <c r="S277" s="23"/>
      <c r="T277" s="23"/>
      <c r="U277" s="23"/>
      <c r="V277" s="23"/>
      <c r="W277" s="23" t="s">
        <v>45</v>
      </c>
      <c r="X277" s="23"/>
      <c r="Y277" s="23" t="str">
        <f>AV274</f>
        <v>189.3</v>
      </c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 t="s">
        <v>177</v>
      </c>
      <c r="AN277" s="23"/>
      <c r="AO277" s="23" t="str">
        <f>TEXT(TRUNC(P277+Y277,1),"#,##0.#")</f>
        <v>2,468.1</v>
      </c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  <c r="BX277" s="23"/>
      <c r="BY277" s="23"/>
      <c r="BZ277" s="23"/>
      <c r="CA277" s="23"/>
      <c r="CB277" s="23"/>
      <c r="CC277" s="23"/>
      <c r="CD277" s="23"/>
      <c r="CE277" s="23"/>
      <c r="CF277" s="23"/>
      <c r="CG277" s="23"/>
      <c r="CH277" s="24"/>
      <c r="CI277" s="24"/>
      <c r="CJ277" s="25"/>
      <c r="CK277" s="25"/>
      <c r="CL277" s="56"/>
    </row>
    <row r="278" spans="2:90" ht="17.649999999999999" customHeight="1" x14ac:dyDescent="0.25">
      <c r="B278" s="22"/>
      <c r="C278" s="23"/>
      <c r="D278" s="23"/>
      <c r="E278" s="23"/>
      <c r="F278" s="23"/>
      <c r="G278" s="23" t="s">
        <v>190</v>
      </c>
      <c r="H278" s="23"/>
      <c r="I278" s="23"/>
      <c r="J278" s="23"/>
      <c r="K278" s="23" t="s">
        <v>191</v>
      </c>
      <c r="L278" s="23"/>
      <c r="M278" s="23"/>
      <c r="N278" s="23" t="s">
        <v>174</v>
      </c>
      <c r="O278" s="23"/>
      <c r="P278" s="23" t="str">
        <f>AD268</f>
        <v>4,522.2</v>
      </c>
      <c r="Q278" s="23"/>
      <c r="R278" s="23"/>
      <c r="S278" s="23"/>
      <c r="T278" s="23"/>
      <c r="U278" s="23"/>
      <c r="V278" s="23"/>
      <c r="W278" s="23"/>
      <c r="X278" s="23"/>
      <c r="Y278" s="23">
        <f>AE274</f>
        <v>0</v>
      </c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 t="s">
        <v>177</v>
      </c>
      <c r="AN278" s="23"/>
      <c r="AO278" s="23" t="str">
        <f>TEXT(TRUNC(P278,1),"#,##0.#")</f>
        <v>4,522.2</v>
      </c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  <c r="BX278" s="23"/>
      <c r="BY278" s="23"/>
      <c r="BZ278" s="23"/>
      <c r="CA278" s="23"/>
      <c r="CB278" s="23"/>
      <c r="CC278" s="23"/>
      <c r="CD278" s="23"/>
      <c r="CE278" s="23"/>
      <c r="CF278" s="23"/>
      <c r="CG278" s="23"/>
      <c r="CH278" s="27"/>
      <c r="CI278" s="27"/>
      <c r="CJ278" s="28"/>
      <c r="CK278" s="28"/>
      <c r="CL278" s="39"/>
    </row>
    <row r="279" spans="2:90" ht="17.649999999999999" customHeight="1" x14ac:dyDescent="0.25">
      <c r="B279" s="22"/>
      <c r="C279" s="23"/>
      <c r="D279" s="23"/>
      <c r="E279" s="23"/>
      <c r="F279" s="23"/>
      <c r="G279" s="23" t="s">
        <v>192</v>
      </c>
      <c r="H279" s="23"/>
      <c r="I279" s="23"/>
      <c r="J279" s="23"/>
      <c r="K279" s="23" t="s">
        <v>193</v>
      </c>
      <c r="L279" s="23"/>
      <c r="M279" s="23"/>
      <c r="N279" s="23" t="s">
        <v>174</v>
      </c>
      <c r="O279" s="23"/>
      <c r="P279" s="23" t="str">
        <f>TEXT(AO276+AO277+AO278,"#,##0.#######")</f>
        <v>25,036.6</v>
      </c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  <c r="BX279" s="23"/>
      <c r="BY279" s="23"/>
      <c r="BZ279" s="23"/>
      <c r="CA279" s="23"/>
      <c r="CB279" s="23"/>
      <c r="CC279" s="23"/>
      <c r="CD279" s="23"/>
      <c r="CE279" s="23"/>
      <c r="CF279" s="23"/>
      <c r="CG279" s="23"/>
      <c r="CH279" s="27">
        <f>CI279+CJ279+CK279</f>
        <v>25036.6</v>
      </c>
      <c r="CI279" s="27" t="str">
        <f>AO276</f>
        <v>18,046.3</v>
      </c>
      <c r="CJ279" s="28" t="str">
        <f>AO277</f>
        <v>2,468.1</v>
      </c>
      <c r="CK279" s="28" t="str">
        <f>AO278</f>
        <v>4,522.2</v>
      </c>
      <c r="CL279" s="39"/>
    </row>
    <row r="280" spans="2:90" ht="17.649999999999999" customHeight="1" x14ac:dyDescent="0.25">
      <c r="B280" s="95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  <c r="AJ280" s="78"/>
      <c r="AK280" s="78"/>
      <c r="AL280" s="78"/>
      <c r="AM280" s="78"/>
      <c r="AN280" s="78"/>
      <c r="AO280" s="78"/>
      <c r="AP280" s="78"/>
      <c r="AQ280" s="78"/>
      <c r="AR280" s="78"/>
      <c r="AS280" s="78"/>
      <c r="AT280" s="78"/>
      <c r="AU280" s="78"/>
      <c r="AV280" s="78"/>
      <c r="AW280" s="78"/>
      <c r="AX280" s="78"/>
      <c r="AY280" s="78"/>
      <c r="AZ280" s="78"/>
      <c r="BA280" s="78"/>
      <c r="BB280" s="78"/>
      <c r="BC280" s="78"/>
      <c r="BD280" s="78"/>
      <c r="BE280" s="78"/>
      <c r="BF280" s="78"/>
      <c r="BG280" s="78"/>
      <c r="BH280" s="78"/>
      <c r="BI280" s="78"/>
      <c r="BJ280" s="78"/>
      <c r="BK280" s="78"/>
      <c r="BL280" s="78"/>
      <c r="BM280" s="78"/>
      <c r="BN280" s="78"/>
      <c r="BO280" s="78"/>
      <c r="BP280" s="78"/>
      <c r="BQ280" s="78"/>
      <c r="BR280" s="78"/>
      <c r="BS280" s="78"/>
      <c r="BT280" s="78"/>
      <c r="BU280" s="78"/>
      <c r="BV280" s="78"/>
      <c r="BW280" s="78"/>
      <c r="BX280" s="78"/>
      <c r="BY280" s="78"/>
      <c r="BZ280" s="78"/>
      <c r="CA280" s="78"/>
      <c r="CB280" s="78"/>
      <c r="CC280" s="78"/>
      <c r="CD280" s="78"/>
      <c r="CE280" s="78"/>
      <c r="CF280" s="78"/>
      <c r="CG280" s="78"/>
      <c r="CH280" s="79"/>
      <c r="CI280" s="79"/>
      <c r="CJ280" s="80"/>
      <c r="CK280" s="80"/>
      <c r="CL280" s="81"/>
    </row>
    <row r="281" spans="2:90" ht="18" customHeight="1" x14ac:dyDescent="0.25">
      <c r="B281" s="82" t="s">
        <v>230</v>
      </c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  <c r="AA281" s="83"/>
      <c r="AB281" s="83"/>
      <c r="AC281" s="83"/>
      <c r="AD281" s="83"/>
      <c r="AE281" s="83"/>
      <c r="AF281" s="83"/>
      <c r="AG281" s="83"/>
      <c r="AH281" s="83"/>
      <c r="AI281" s="83"/>
      <c r="AJ281" s="83"/>
      <c r="AK281" s="83"/>
      <c r="AL281" s="83"/>
      <c r="AM281" s="83"/>
      <c r="AN281" s="83"/>
      <c r="AO281" s="83"/>
      <c r="AP281" s="83"/>
      <c r="AQ281" s="83"/>
      <c r="AR281" s="83"/>
      <c r="AS281" s="83"/>
      <c r="AT281" s="83"/>
      <c r="AU281" s="83"/>
      <c r="AV281" s="83"/>
      <c r="AW281" s="83"/>
      <c r="AX281" s="83"/>
      <c r="AY281" s="83"/>
      <c r="AZ281" s="83"/>
      <c r="BA281" s="83"/>
      <c r="BB281" s="83"/>
      <c r="BC281" s="83"/>
      <c r="BD281" s="83"/>
      <c r="BE281" s="83"/>
      <c r="BF281" s="83"/>
      <c r="BG281" s="83"/>
      <c r="BH281" s="83"/>
      <c r="BI281" s="83"/>
      <c r="BJ281" s="83"/>
      <c r="BK281" s="83"/>
      <c r="BL281" s="83"/>
      <c r="BM281" s="83"/>
      <c r="BN281" s="83"/>
      <c r="BO281" s="83"/>
      <c r="BP281" s="83"/>
      <c r="BQ281" s="83"/>
      <c r="BR281" s="83"/>
      <c r="BS281" s="83"/>
      <c r="BT281" s="83"/>
      <c r="BU281" s="83"/>
      <c r="BV281" s="83"/>
      <c r="BW281" s="83"/>
      <c r="BX281" s="83"/>
      <c r="BY281" s="83"/>
      <c r="BZ281" s="83"/>
      <c r="CA281" s="83"/>
      <c r="CB281" s="83"/>
      <c r="CC281" s="83"/>
      <c r="CD281" s="83"/>
      <c r="CE281" s="83"/>
      <c r="CF281" s="83"/>
      <c r="CG281" s="83"/>
      <c r="CH281" s="94">
        <f>TRUNC(CI281+CJ281+CK281,0)</f>
        <v>45211</v>
      </c>
      <c r="CI281" s="94">
        <f>TRUNC(CI284+CI289,0)</f>
        <v>24307</v>
      </c>
      <c r="CJ281" s="54">
        <f>TRUNC(CJ285+CJ292,0)</f>
        <v>7848</v>
      </c>
      <c r="CK281" s="54">
        <f>TRUNC(CK286,0)</f>
        <v>13056</v>
      </c>
      <c r="CL281" s="102">
        <v>8215</v>
      </c>
    </row>
    <row r="282" spans="2:90" ht="18" customHeight="1" x14ac:dyDescent="0.25">
      <c r="B282" s="26"/>
      <c r="C282" s="23"/>
      <c r="D282" s="23" t="s">
        <v>231</v>
      </c>
      <c r="E282" s="23"/>
      <c r="F282" s="23"/>
      <c r="G282" s="23" t="s">
        <v>232</v>
      </c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  <c r="BX282" s="23"/>
      <c r="BY282" s="23"/>
      <c r="BZ282" s="23"/>
      <c r="CA282" s="23"/>
      <c r="CB282" s="23"/>
      <c r="CC282" s="23"/>
      <c r="CD282" s="23"/>
      <c r="CE282" s="23"/>
      <c r="CF282" s="23"/>
      <c r="CG282" s="23"/>
      <c r="CH282" s="27"/>
      <c r="CI282" s="27"/>
      <c r="CJ282" s="28"/>
      <c r="CK282" s="28"/>
      <c r="CL282" s="39" t="s">
        <v>233</v>
      </c>
    </row>
    <row r="283" spans="2:90" ht="18" customHeight="1" x14ac:dyDescent="0.25">
      <c r="B283" s="26"/>
      <c r="C283" s="23"/>
      <c r="D283" s="23"/>
      <c r="E283" s="23"/>
      <c r="F283" s="23"/>
      <c r="G283" s="23" t="s">
        <v>182</v>
      </c>
      <c r="H283" s="23"/>
      <c r="I283" s="23"/>
      <c r="J283" s="23"/>
      <c r="K283" s="23" t="s">
        <v>234</v>
      </c>
      <c r="L283" s="23" t="str">
        <f>TEXT(1.6,"#,##0.#######")</f>
        <v>1.6</v>
      </c>
      <c r="M283" s="23"/>
      <c r="N283" s="23"/>
      <c r="O283" s="23" t="s">
        <v>180</v>
      </c>
      <c r="P283" s="23"/>
      <c r="Q283" s="23" t="str">
        <f>TEXT(3.3,"#,##0.#######")</f>
        <v>3.3</v>
      </c>
      <c r="R283" s="23"/>
      <c r="S283" s="23"/>
      <c r="T283" s="23" t="s">
        <v>235</v>
      </c>
      <c r="U283" s="23" t="s">
        <v>189</v>
      </c>
      <c r="V283" s="23"/>
      <c r="W283" s="23"/>
      <c r="X283" s="23" t="str">
        <f>TEXT(2,"#,##0.#######")</f>
        <v>2.</v>
      </c>
      <c r="Y283" s="23"/>
      <c r="Z283" s="23"/>
      <c r="AA283" s="23" t="s">
        <v>177</v>
      </c>
      <c r="AB283" s="23"/>
      <c r="AC283" s="23"/>
      <c r="AD283" s="23" t="str">
        <f>TEXT((L283+Q283)/X283,"#,##0.#######")</f>
        <v>2.45</v>
      </c>
      <c r="AE283" s="23"/>
      <c r="AF283" s="23"/>
      <c r="AG283" s="23" t="s">
        <v>222</v>
      </c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  <c r="BX283" s="23"/>
      <c r="BY283" s="23"/>
      <c r="BZ283" s="23"/>
      <c r="CA283" s="23"/>
      <c r="CB283" s="23"/>
      <c r="CC283" s="23"/>
      <c r="CD283" s="23"/>
      <c r="CE283" s="23"/>
      <c r="CF283" s="23"/>
      <c r="CG283" s="23"/>
      <c r="CH283" s="27"/>
      <c r="CI283" s="27"/>
      <c r="CJ283" s="28"/>
      <c r="CK283" s="28"/>
      <c r="CL283" s="39"/>
    </row>
    <row r="284" spans="2:90" ht="18" customHeight="1" x14ac:dyDescent="0.25">
      <c r="B284" s="26"/>
      <c r="C284" s="23"/>
      <c r="D284" s="23"/>
      <c r="E284" s="23"/>
      <c r="F284" s="23"/>
      <c r="G284" s="23"/>
      <c r="H284" s="23" t="s">
        <v>212</v>
      </c>
      <c r="I284" s="23"/>
      <c r="J284" s="23"/>
      <c r="K284" s="23"/>
      <c r="L284" s="23"/>
      <c r="M284" s="23" t="s">
        <v>179</v>
      </c>
      <c r="N284" s="23" t="str">
        <f>TEXT([1]기계경비총괄표!G14,"#,##0.#######")</f>
        <v>42,267.</v>
      </c>
      <c r="O284" s="23"/>
      <c r="P284" s="23"/>
      <c r="Q284" s="23"/>
      <c r="R284" s="23"/>
      <c r="S284" s="23"/>
      <c r="T284" s="23"/>
      <c r="U284" s="23" t="s">
        <v>186</v>
      </c>
      <c r="V284" s="23"/>
      <c r="W284" s="23"/>
      <c r="X284" s="23" t="str">
        <f>TEXT(AD283,"#,##0.#######")</f>
        <v>2.45</v>
      </c>
      <c r="Y284" s="23"/>
      <c r="Z284" s="23"/>
      <c r="AA284" s="23" t="s">
        <v>184</v>
      </c>
      <c r="AB284" s="23"/>
      <c r="AC284" s="23"/>
      <c r="AD284" s="23" t="str">
        <f>TEXT(TRUNC(N284/X284,1),"#,##0.#")</f>
        <v>17,251.8</v>
      </c>
      <c r="AE284" s="23"/>
      <c r="AF284" s="23"/>
      <c r="AG284" s="23"/>
      <c r="AH284" s="23"/>
      <c r="AI284" s="23"/>
      <c r="AJ284" s="23" t="s">
        <v>185</v>
      </c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  <c r="BX284" s="23"/>
      <c r="BY284" s="23"/>
      <c r="BZ284" s="23"/>
      <c r="CA284" s="23"/>
      <c r="CB284" s="23"/>
      <c r="CC284" s="23"/>
      <c r="CD284" s="23"/>
      <c r="CE284" s="23"/>
      <c r="CF284" s="23"/>
      <c r="CG284" s="23"/>
      <c r="CH284" s="27"/>
      <c r="CI284" s="27" t="str">
        <f>AD284</f>
        <v>17,251.8</v>
      </c>
      <c r="CJ284" s="28"/>
      <c r="CK284" s="28"/>
      <c r="CL284" s="39"/>
    </row>
    <row r="285" spans="2:90" ht="18" customHeight="1" x14ac:dyDescent="0.25">
      <c r="B285" s="26"/>
      <c r="C285" s="23"/>
      <c r="D285" s="23"/>
      <c r="E285" s="23"/>
      <c r="F285" s="23"/>
      <c r="G285" s="23"/>
      <c r="H285" s="23" t="s">
        <v>178</v>
      </c>
      <c r="I285" s="23"/>
      <c r="J285" s="23"/>
      <c r="K285" s="23"/>
      <c r="L285" s="23"/>
      <c r="M285" s="23" t="s">
        <v>179</v>
      </c>
      <c r="N285" s="23" t="str">
        <f>TEXT([1]기계경비총괄표!F14,"#,##0.#######")</f>
        <v>17,879.3</v>
      </c>
      <c r="O285" s="23"/>
      <c r="P285" s="23"/>
      <c r="Q285" s="23"/>
      <c r="R285" s="23"/>
      <c r="S285" s="23"/>
      <c r="T285" s="23"/>
      <c r="U285" s="23" t="s">
        <v>186</v>
      </c>
      <c r="V285" s="23"/>
      <c r="W285" s="23"/>
      <c r="X285" s="23" t="str">
        <f>TEXT(AD283,"#,##0.#######")</f>
        <v>2.45</v>
      </c>
      <c r="Y285" s="23"/>
      <c r="Z285" s="23"/>
      <c r="AA285" s="23" t="s">
        <v>46</v>
      </c>
      <c r="AB285" s="23"/>
      <c r="AC285" s="23"/>
      <c r="AD285" s="23" t="str">
        <f>TEXT(TRUNC(N285/X285,1),"#,##0.#")</f>
        <v>7,297.6</v>
      </c>
      <c r="AE285" s="23"/>
      <c r="AF285" s="23"/>
      <c r="AG285" s="23"/>
      <c r="AH285" s="23"/>
      <c r="AI285" s="23"/>
      <c r="AJ285" s="23" t="s">
        <v>66</v>
      </c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  <c r="BX285" s="23"/>
      <c r="BY285" s="23"/>
      <c r="BZ285" s="23"/>
      <c r="CA285" s="23"/>
      <c r="CB285" s="23"/>
      <c r="CC285" s="23"/>
      <c r="CD285" s="23"/>
      <c r="CE285" s="23"/>
      <c r="CF285" s="23"/>
      <c r="CG285" s="23"/>
      <c r="CH285" s="27"/>
      <c r="CI285" s="27"/>
      <c r="CJ285" s="28" t="str">
        <f>AD285</f>
        <v>7,297.6</v>
      </c>
      <c r="CK285" s="28"/>
      <c r="CL285" s="39"/>
    </row>
    <row r="286" spans="2:90" ht="18" customHeight="1" x14ac:dyDescent="0.25">
      <c r="B286" s="26"/>
      <c r="C286" s="23"/>
      <c r="D286" s="23"/>
      <c r="E286" s="23"/>
      <c r="F286" s="23"/>
      <c r="G286" s="23"/>
      <c r="H286" s="23" t="s">
        <v>171</v>
      </c>
      <c r="I286" s="23"/>
      <c r="J286" s="23"/>
      <c r="K286" s="23"/>
      <c r="L286" s="23" t="s">
        <v>43</v>
      </c>
      <c r="M286" s="23"/>
      <c r="N286" s="23" t="str">
        <f>TEXT([1]기계경비총괄표!H14,"#,##0.#######")</f>
        <v>31,987.2</v>
      </c>
      <c r="O286" s="23"/>
      <c r="P286" s="23"/>
      <c r="Q286" s="23"/>
      <c r="R286" s="23"/>
      <c r="S286" s="23"/>
      <c r="T286" s="23"/>
      <c r="U286" s="23" t="s">
        <v>47</v>
      </c>
      <c r="V286" s="23"/>
      <c r="W286" s="23"/>
      <c r="X286" s="23" t="str">
        <f>TEXT(AD283,"#,##0.#######")</f>
        <v>2.45</v>
      </c>
      <c r="Y286" s="23"/>
      <c r="Z286" s="23"/>
      <c r="AA286" s="23" t="s">
        <v>46</v>
      </c>
      <c r="AB286" s="23"/>
      <c r="AC286" s="23"/>
      <c r="AD286" s="23" t="str">
        <f>TEXT(TRUNC(N286/X286,1),"#,##0.#")</f>
        <v>13,056.</v>
      </c>
      <c r="AE286" s="23"/>
      <c r="AF286" s="23"/>
      <c r="AG286" s="23"/>
      <c r="AH286" s="23"/>
      <c r="AI286" s="23"/>
      <c r="AJ286" s="23" t="s">
        <v>66</v>
      </c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  <c r="BX286" s="23"/>
      <c r="BY286" s="23"/>
      <c r="BZ286" s="23"/>
      <c r="CA286" s="23"/>
      <c r="CB286" s="23"/>
      <c r="CC286" s="23"/>
      <c r="CD286" s="23"/>
      <c r="CE286" s="23"/>
      <c r="CF286" s="23"/>
      <c r="CG286" s="23"/>
      <c r="CH286" s="27"/>
      <c r="CI286" s="27"/>
      <c r="CJ286" s="28"/>
      <c r="CK286" s="28" t="str">
        <f>AD286</f>
        <v>13,056.</v>
      </c>
      <c r="CL286" s="39"/>
    </row>
    <row r="287" spans="2:90" ht="18" customHeight="1" x14ac:dyDescent="0.25">
      <c r="B287" s="26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  <c r="BX287" s="23"/>
      <c r="BY287" s="23"/>
      <c r="BZ287" s="23"/>
      <c r="CA287" s="23"/>
      <c r="CB287" s="23"/>
      <c r="CC287" s="23"/>
      <c r="CD287" s="23"/>
      <c r="CE287" s="23"/>
      <c r="CF287" s="23"/>
      <c r="CG287" s="23"/>
      <c r="CH287" s="27"/>
      <c r="CI287" s="27"/>
      <c r="CJ287" s="28"/>
      <c r="CK287" s="28"/>
      <c r="CL287" s="39"/>
    </row>
    <row r="288" spans="2:90" ht="18" customHeight="1" x14ac:dyDescent="0.25">
      <c r="B288" s="26"/>
      <c r="C288" s="23"/>
      <c r="D288" s="23" t="s">
        <v>49</v>
      </c>
      <c r="E288" s="23"/>
      <c r="F288" s="23"/>
      <c r="G288" s="23" t="s">
        <v>70</v>
      </c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  <c r="BX288" s="23"/>
      <c r="BY288" s="23"/>
      <c r="BZ288" s="23"/>
      <c r="CA288" s="23"/>
      <c r="CB288" s="23"/>
      <c r="CC288" s="23"/>
      <c r="CD288" s="23"/>
      <c r="CE288" s="23"/>
      <c r="CF288" s="23"/>
      <c r="CG288" s="23"/>
      <c r="CH288" s="27"/>
      <c r="CI288" s="27"/>
      <c r="CJ288" s="28"/>
      <c r="CK288" s="28"/>
      <c r="CL288" s="39"/>
    </row>
    <row r="289" spans="2:90" ht="18" customHeight="1" x14ac:dyDescent="0.25">
      <c r="B289" s="26"/>
      <c r="C289" s="23"/>
      <c r="D289" s="29"/>
      <c r="E289" s="23"/>
      <c r="F289" s="23"/>
      <c r="G289" s="23"/>
      <c r="H289" s="23" t="s">
        <v>71</v>
      </c>
      <c r="I289" s="23"/>
      <c r="J289" s="23"/>
      <c r="K289" s="23"/>
      <c r="L289" s="23"/>
      <c r="M289" s="23"/>
      <c r="N289" s="23"/>
      <c r="O289" s="23"/>
      <c r="P289" s="23" t="str">
        <f>TEXT([1]노임및중기단가!I8,"#,##0.#######")</f>
        <v>138,290.</v>
      </c>
      <c r="Q289" s="23"/>
      <c r="R289" s="23"/>
      <c r="S289" s="23"/>
      <c r="T289" s="23"/>
      <c r="U289" s="23"/>
      <c r="V289" s="23"/>
      <c r="W289" s="23" t="s">
        <v>48</v>
      </c>
      <c r="X289" s="23"/>
      <c r="Y289" s="23"/>
      <c r="Z289" s="23" t="str">
        <f>TEXT(1,"#,##0.#######")</f>
        <v>1.</v>
      </c>
      <c r="AA289" s="23"/>
      <c r="AB289" s="23" t="s">
        <v>44</v>
      </c>
      <c r="AC289" s="23"/>
      <c r="AD289" s="23"/>
      <c r="AE289" s="23" t="s">
        <v>47</v>
      </c>
      <c r="AF289" s="23"/>
      <c r="AG289" s="23" t="s">
        <v>41</v>
      </c>
      <c r="AH289" s="23" t="str">
        <f>TEXT(8,"#,##0.#######")</f>
        <v>8.</v>
      </c>
      <c r="AI289" s="23"/>
      <c r="AJ289" s="23" t="s">
        <v>50</v>
      </c>
      <c r="AK289" s="23"/>
      <c r="AL289" s="23"/>
      <c r="AM289" s="23" t="s">
        <v>48</v>
      </c>
      <c r="AN289" s="23"/>
      <c r="AO289" s="23"/>
      <c r="AP289" s="23" t="str">
        <f>TEXT(AD283,"#,##0.#######")</f>
        <v>2.45</v>
      </c>
      <c r="AQ289" s="23"/>
      <c r="AR289" s="23"/>
      <c r="AS289" s="23" t="s">
        <v>101</v>
      </c>
      <c r="AT289" s="23"/>
      <c r="AU289" s="23"/>
      <c r="AV289" s="23"/>
      <c r="AW289" s="23" t="s">
        <v>103</v>
      </c>
      <c r="AX289" s="23"/>
      <c r="AY289" s="23"/>
      <c r="AZ289" s="23" t="str">
        <f>TEXT(TRUNC(P289*Z289/(AH289*AP289),1),"#,##0.#")</f>
        <v>7,055.6</v>
      </c>
      <c r="BA289" s="23"/>
      <c r="BB289" s="23"/>
      <c r="BC289" s="23"/>
      <c r="BD289" s="23"/>
      <c r="BE289" s="23"/>
      <c r="BF289" s="23" t="s">
        <v>236</v>
      </c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  <c r="BX289" s="23"/>
      <c r="BY289" s="23"/>
      <c r="BZ289" s="23"/>
      <c r="CA289" s="23"/>
      <c r="CB289" s="23"/>
      <c r="CC289" s="23"/>
      <c r="CD289" s="23"/>
      <c r="CE289" s="23"/>
      <c r="CF289" s="23"/>
      <c r="CG289" s="23"/>
      <c r="CH289" s="27"/>
      <c r="CI289" s="27" t="str">
        <f>AZ289</f>
        <v>7,055.6</v>
      </c>
      <c r="CJ289" s="28"/>
      <c r="CK289" s="28"/>
      <c r="CL289" s="39"/>
    </row>
    <row r="290" spans="2:90" ht="18" customHeight="1" x14ac:dyDescent="0.25">
      <c r="B290" s="26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34"/>
      <c r="BR290" s="34"/>
      <c r="BS290" s="34"/>
      <c r="BT290" s="34"/>
      <c r="BU290" s="34"/>
      <c r="BV290" s="34"/>
      <c r="BW290" s="34"/>
      <c r="BX290" s="34"/>
      <c r="BY290" s="34"/>
      <c r="BZ290" s="34"/>
      <c r="CA290" s="34"/>
      <c r="CB290" s="34"/>
      <c r="CC290" s="34"/>
      <c r="CD290" s="34"/>
      <c r="CE290" s="34"/>
      <c r="CF290" s="34"/>
      <c r="CG290" s="34"/>
      <c r="CH290" s="27"/>
      <c r="CI290" s="27"/>
      <c r="CJ290" s="28"/>
      <c r="CK290" s="28"/>
      <c r="CL290" s="57"/>
    </row>
    <row r="291" spans="2:90" ht="18" customHeight="1" x14ac:dyDescent="0.25">
      <c r="B291" s="26"/>
      <c r="C291" s="23"/>
      <c r="D291" s="23" t="s">
        <v>237</v>
      </c>
      <c r="E291" s="23"/>
      <c r="F291" s="23"/>
      <c r="G291" s="23" t="s">
        <v>238</v>
      </c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34"/>
      <c r="BL291" s="34"/>
      <c r="BM291" s="34"/>
      <c r="BN291" s="34"/>
      <c r="BO291" s="34"/>
      <c r="BP291" s="34"/>
      <c r="BQ291" s="34"/>
      <c r="BR291" s="34"/>
      <c r="BS291" s="34"/>
      <c r="BT291" s="34"/>
      <c r="BU291" s="34"/>
      <c r="BV291" s="34"/>
      <c r="BW291" s="34"/>
      <c r="BX291" s="34"/>
      <c r="BY291" s="34"/>
      <c r="BZ291" s="34"/>
      <c r="CA291" s="34"/>
      <c r="CB291" s="34"/>
      <c r="CC291" s="34"/>
      <c r="CD291" s="34"/>
      <c r="CE291" s="34"/>
      <c r="CF291" s="34"/>
      <c r="CG291" s="34"/>
      <c r="CH291" s="27"/>
      <c r="CI291" s="27"/>
      <c r="CJ291" s="28"/>
      <c r="CK291" s="28"/>
      <c r="CL291" s="57"/>
    </row>
    <row r="292" spans="2:90" ht="18" customHeight="1" x14ac:dyDescent="0.25">
      <c r="B292" s="26"/>
      <c r="C292" s="23"/>
      <c r="D292" s="23"/>
      <c r="E292" s="23"/>
      <c r="F292" s="23"/>
      <c r="G292" s="23"/>
      <c r="H292" s="23" t="str">
        <f>TEXT(0.01,"#,##0.#######")</f>
        <v>0.01</v>
      </c>
      <c r="I292" s="23"/>
      <c r="J292" s="23"/>
      <c r="K292" s="23"/>
      <c r="L292" s="23" t="s">
        <v>228</v>
      </c>
      <c r="M292" s="23"/>
      <c r="N292" s="23"/>
      <c r="O292" s="29"/>
      <c r="P292" s="29"/>
      <c r="Q292" s="23" t="s">
        <v>102</v>
      </c>
      <c r="R292" s="23"/>
      <c r="S292" s="23"/>
      <c r="T292" s="23" t="str">
        <f>TEXT([1]자재단가!M84,"#,##0.#######")</f>
        <v>135,000.</v>
      </c>
      <c r="U292" s="23"/>
      <c r="V292" s="23"/>
      <c r="W292" s="23"/>
      <c r="X292" s="23"/>
      <c r="Y292" s="23"/>
      <c r="Z292" s="23"/>
      <c r="AA292" s="23" t="s">
        <v>229</v>
      </c>
      <c r="AB292" s="29"/>
      <c r="AC292" s="29"/>
      <c r="AD292" s="29"/>
      <c r="AE292" s="29"/>
      <c r="AF292" s="23" t="s">
        <v>122</v>
      </c>
      <c r="AG292" s="23"/>
      <c r="AH292" s="23"/>
      <c r="AI292" s="23" t="str">
        <f>TEXT(AD283,"#,##0.#######")</f>
        <v>2.45</v>
      </c>
      <c r="AJ292" s="23"/>
      <c r="AK292" s="23"/>
      <c r="AL292" s="23"/>
      <c r="AM292" s="23" t="s">
        <v>69</v>
      </c>
      <c r="AN292" s="23"/>
      <c r="AO292" s="23"/>
      <c r="AP292" s="23"/>
      <c r="AQ292" s="23"/>
      <c r="AR292" s="23"/>
      <c r="AS292" s="23" t="s">
        <v>46</v>
      </c>
      <c r="AT292" s="23"/>
      <c r="AU292" s="23"/>
      <c r="AV292" s="23" t="str">
        <f>TEXT(TRUNC(H292*T292/AI292,1),"#,##0.#")</f>
        <v>551.</v>
      </c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34"/>
      <c r="BL292" s="34"/>
      <c r="BM292" s="34"/>
      <c r="BN292" s="34"/>
      <c r="BO292" s="34"/>
      <c r="BP292" s="34"/>
      <c r="BQ292" s="34"/>
      <c r="BR292" s="34"/>
      <c r="BS292" s="34"/>
      <c r="BT292" s="34"/>
      <c r="BU292" s="34"/>
      <c r="BV292" s="34"/>
      <c r="BW292" s="34"/>
      <c r="BX292" s="34"/>
      <c r="BY292" s="34"/>
      <c r="BZ292" s="34"/>
      <c r="CA292" s="34"/>
      <c r="CB292" s="34"/>
      <c r="CC292" s="34"/>
      <c r="CD292" s="34"/>
      <c r="CE292" s="34"/>
      <c r="CF292" s="34"/>
      <c r="CG292" s="34"/>
      <c r="CH292" s="27"/>
      <c r="CI292" s="27"/>
      <c r="CJ292" s="28" t="str">
        <f>AV292</f>
        <v>551.</v>
      </c>
      <c r="CK292" s="28"/>
      <c r="CL292" s="57"/>
    </row>
    <row r="293" spans="2:90" ht="18" customHeight="1" x14ac:dyDescent="0.25">
      <c r="B293" s="26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34"/>
      <c r="BL293" s="34"/>
      <c r="BM293" s="34"/>
      <c r="BN293" s="34"/>
      <c r="BO293" s="34"/>
      <c r="BP293" s="34"/>
      <c r="BQ293" s="34"/>
      <c r="BR293" s="34"/>
      <c r="BS293" s="34"/>
      <c r="BT293" s="34"/>
      <c r="BU293" s="34"/>
      <c r="BV293" s="34"/>
      <c r="BW293" s="34"/>
      <c r="BX293" s="34"/>
      <c r="BY293" s="34"/>
      <c r="BZ293" s="34"/>
      <c r="CA293" s="34"/>
      <c r="CB293" s="34"/>
      <c r="CC293" s="34"/>
      <c r="CD293" s="34"/>
      <c r="CE293" s="34"/>
      <c r="CF293" s="34"/>
      <c r="CG293" s="34"/>
      <c r="CH293" s="27"/>
      <c r="CI293" s="27"/>
      <c r="CJ293" s="28"/>
      <c r="CK293" s="28"/>
      <c r="CL293" s="57"/>
    </row>
    <row r="294" spans="2:90" ht="18" customHeight="1" x14ac:dyDescent="0.25">
      <c r="B294" s="22"/>
      <c r="C294" s="23"/>
      <c r="D294" s="23"/>
      <c r="E294" s="23"/>
      <c r="F294" s="23"/>
      <c r="G294" s="23" t="s">
        <v>52</v>
      </c>
      <c r="H294" s="23"/>
      <c r="I294" s="23"/>
      <c r="J294" s="23"/>
      <c r="K294" s="23"/>
      <c r="L294" s="23"/>
      <c r="M294" s="23"/>
      <c r="N294" s="23" t="s">
        <v>43</v>
      </c>
      <c r="O294" s="23"/>
      <c r="P294" s="23" t="str">
        <f>AD284</f>
        <v>17,251.8</v>
      </c>
      <c r="Q294" s="23"/>
      <c r="R294" s="23"/>
      <c r="S294" s="23"/>
      <c r="T294" s="23"/>
      <c r="U294" s="23"/>
      <c r="V294" s="23"/>
      <c r="W294" s="23" t="s">
        <v>45</v>
      </c>
      <c r="X294" s="23"/>
      <c r="Y294" s="23" t="str">
        <f>AZ289</f>
        <v>7,055.6</v>
      </c>
      <c r="Z294" s="23"/>
      <c r="AA294" s="23"/>
      <c r="AB294" s="23"/>
      <c r="AC294" s="23"/>
      <c r="AD294" s="23"/>
      <c r="AE294" s="23"/>
      <c r="AF294" s="23"/>
      <c r="AG294" s="23">
        <f>AE290</f>
        <v>0</v>
      </c>
      <c r="AH294" s="23"/>
      <c r="AI294" s="23"/>
      <c r="AJ294" s="23"/>
      <c r="AK294" s="23"/>
      <c r="AL294" s="23"/>
      <c r="AM294" s="23" t="s">
        <v>46</v>
      </c>
      <c r="AN294" s="23"/>
      <c r="AO294" s="23" t="str">
        <f>TEXT(TRUNC(P294+Y294,1),"#,##0.#")</f>
        <v>24,307.4</v>
      </c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  <c r="BX294" s="23"/>
      <c r="BY294" s="23"/>
      <c r="BZ294" s="23"/>
      <c r="CA294" s="23"/>
      <c r="CB294" s="23"/>
      <c r="CC294" s="23"/>
      <c r="CD294" s="23"/>
      <c r="CE294" s="23"/>
      <c r="CF294" s="23"/>
      <c r="CG294" s="23"/>
      <c r="CH294" s="24"/>
      <c r="CI294" s="24"/>
      <c r="CJ294" s="25"/>
      <c r="CK294" s="52"/>
      <c r="CL294" s="56"/>
    </row>
    <row r="295" spans="2:90" ht="18" customHeight="1" x14ac:dyDescent="0.25">
      <c r="B295" s="22"/>
      <c r="C295" s="23"/>
      <c r="D295" s="23"/>
      <c r="E295" s="23"/>
      <c r="F295" s="23"/>
      <c r="G295" s="23" t="s">
        <v>53</v>
      </c>
      <c r="H295" s="23"/>
      <c r="I295" s="23"/>
      <c r="J295" s="23"/>
      <c r="K295" s="23"/>
      <c r="L295" s="23"/>
      <c r="M295" s="23"/>
      <c r="N295" s="23" t="s">
        <v>43</v>
      </c>
      <c r="O295" s="23"/>
      <c r="P295" s="23" t="str">
        <f>AD285</f>
        <v>7,297.6</v>
      </c>
      <c r="Q295" s="23"/>
      <c r="R295" s="23"/>
      <c r="S295" s="23"/>
      <c r="T295" s="23"/>
      <c r="U295" s="23"/>
      <c r="V295" s="23"/>
      <c r="W295" s="23" t="s">
        <v>45</v>
      </c>
      <c r="X295" s="23"/>
      <c r="Y295" s="23" t="str">
        <f>AV292</f>
        <v>551.</v>
      </c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 t="s">
        <v>46</v>
      </c>
      <c r="AN295" s="23"/>
      <c r="AO295" s="23" t="str">
        <f>TEXT(TRUNC(P295+Y295,1),"#,##0.#")</f>
        <v>7,848.6</v>
      </c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  <c r="BX295" s="23"/>
      <c r="BY295" s="23"/>
      <c r="BZ295" s="23"/>
      <c r="CA295" s="23"/>
      <c r="CB295" s="23"/>
      <c r="CC295" s="23"/>
      <c r="CD295" s="23"/>
      <c r="CE295" s="23"/>
      <c r="CF295" s="23"/>
      <c r="CG295" s="23"/>
      <c r="CH295" s="24"/>
      <c r="CI295" s="24"/>
      <c r="CJ295" s="25"/>
      <c r="CK295" s="25"/>
      <c r="CL295" s="56"/>
    </row>
    <row r="296" spans="2:90" ht="18" customHeight="1" x14ac:dyDescent="0.25">
      <c r="B296" s="22"/>
      <c r="C296" s="23"/>
      <c r="D296" s="23"/>
      <c r="E296" s="23"/>
      <c r="F296" s="23"/>
      <c r="G296" s="23" t="s">
        <v>63</v>
      </c>
      <c r="H296" s="23"/>
      <c r="I296" s="23"/>
      <c r="J296" s="23"/>
      <c r="K296" s="23" t="s">
        <v>64</v>
      </c>
      <c r="L296" s="23"/>
      <c r="M296" s="23"/>
      <c r="N296" s="23" t="s">
        <v>43</v>
      </c>
      <c r="O296" s="23"/>
      <c r="P296" s="23" t="str">
        <f>AD286</f>
        <v>13,056.</v>
      </c>
      <c r="Q296" s="23"/>
      <c r="R296" s="23"/>
      <c r="S296" s="23"/>
      <c r="T296" s="23"/>
      <c r="U296" s="23"/>
      <c r="V296" s="23"/>
      <c r="W296" s="23"/>
      <c r="X296" s="23"/>
      <c r="Y296" s="23">
        <f>AE292</f>
        <v>0</v>
      </c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 t="s">
        <v>46</v>
      </c>
      <c r="AN296" s="23"/>
      <c r="AO296" s="23" t="str">
        <f>TEXT(TRUNC(P296,1),"#,##0.#")</f>
        <v>13,056.</v>
      </c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  <c r="BX296" s="23"/>
      <c r="BY296" s="23"/>
      <c r="BZ296" s="23"/>
      <c r="CA296" s="23"/>
      <c r="CB296" s="23"/>
      <c r="CC296" s="23"/>
      <c r="CD296" s="23"/>
      <c r="CE296" s="23"/>
      <c r="CF296" s="23"/>
      <c r="CG296" s="23"/>
      <c r="CH296" s="27"/>
      <c r="CI296" s="27"/>
      <c r="CJ296" s="28"/>
      <c r="CK296" s="28"/>
      <c r="CL296" s="39"/>
    </row>
    <row r="297" spans="2:90" ht="18" customHeight="1" x14ac:dyDescent="0.25">
      <c r="B297" s="22"/>
      <c r="C297" s="23"/>
      <c r="D297" s="23"/>
      <c r="E297" s="23"/>
      <c r="F297" s="23"/>
      <c r="G297" s="23" t="s">
        <v>65</v>
      </c>
      <c r="H297" s="23"/>
      <c r="I297" s="23"/>
      <c r="J297" s="23"/>
      <c r="K297" s="23" t="s">
        <v>40</v>
      </c>
      <c r="L297" s="23"/>
      <c r="M297" s="23"/>
      <c r="N297" s="23" t="s">
        <v>43</v>
      </c>
      <c r="O297" s="23"/>
      <c r="P297" s="23" t="str">
        <f>TEXT(AO294+AO295+AO296,"#,##0.#######")</f>
        <v>45,212.</v>
      </c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  <c r="BX297" s="23"/>
      <c r="BY297" s="23"/>
      <c r="BZ297" s="23"/>
      <c r="CA297" s="23"/>
      <c r="CB297" s="23"/>
      <c r="CC297" s="23"/>
      <c r="CD297" s="23"/>
      <c r="CE297" s="23"/>
      <c r="CF297" s="23"/>
      <c r="CG297" s="23"/>
      <c r="CH297" s="27">
        <f>CI297+CJ297+CK297</f>
        <v>45212</v>
      </c>
      <c r="CI297" s="27" t="str">
        <f>AO294</f>
        <v>24,307.4</v>
      </c>
      <c r="CJ297" s="28" t="str">
        <f>AO295</f>
        <v>7,848.6</v>
      </c>
      <c r="CK297" s="28" t="str">
        <f>AO296</f>
        <v>13,056.</v>
      </c>
      <c r="CL297" s="39"/>
    </row>
    <row r="298" spans="2:90" ht="18" customHeight="1" x14ac:dyDescent="0.25">
      <c r="B298" s="22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  <c r="BX298" s="23"/>
      <c r="BY298" s="23"/>
      <c r="BZ298" s="23"/>
      <c r="CA298" s="23"/>
      <c r="CB298" s="23"/>
      <c r="CC298" s="23"/>
      <c r="CD298" s="23"/>
      <c r="CE298" s="23"/>
      <c r="CF298" s="23"/>
      <c r="CG298" s="23"/>
      <c r="CH298" s="27"/>
      <c r="CI298" s="27"/>
      <c r="CJ298" s="28"/>
      <c r="CK298" s="28"/>
      <c r="CL298" s="39"/>
    </row>
    <row r="299" spans="2:90" ht="18" customHeight="1" x14ac:dyDescent="0.25">
      <c r="B299" s="46" t="s">
        <v>83</v>
      </c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  <c r="AC299" s="47"/>
      <c r="AD299" s="47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  <c r="AQ299" s="47"/>
      <c r="AR299" s="47"/>
      <c r="AS299" s="47"/>
      <c r="AT299" s="47"/>
      <c r="AU299" s="47"/>
      <c r="AV299" s="47"/>
      <c r="AW299" s="47"/>
      <c r="AX299" s="47"/>
      <c r="AY299" s="47"/>
      <c r="AZ299" s="47"/>
      <c r="BA299" s="47"/>
      <c r="BB299" s="47"/>
      <c r="BC299" s="47"/>
      <c r="BD299" s="47"/>
      <c r="BE299" s="47"/>
      <c r="BF299" s="47"/>
      <c r="BG299" s="47"/>
      <c r="BH299" s="47"/>
      <c r="BI299" s="47"/>
      <c r="BJ299" s="47"/>
      <c r="BK299" s="47"/>
      <c r="BL299" s="47"/>
      <c r="BM299" s="47"/>
      <c r="BN299" s="47"/>
      <c r="BO299" s="47"/>
      <c r="BP299" s="47"/>
      <c r="BQ299" s="47"/>
      <c r="BR299" s="47"/>
      <c r="BS299" s="47"/>
      <c r="BT299" s="47"/>
      <c r="BU299" s="47"/>
      <c r="BV299" s="47"/>
      <c r="BW299" s="47"/>
      <c r="BX299" s="47"/>
      <c r="BY299" s="47"/>
      <c r="BZ299" s="47"/>
      <c r="CA299" s="47"/>
      <c r="CB299" s="47"/>
      <c r="CC299" s="47"/>
      <c r="CD299" s="47"/>
      <c r="CE299" s="47"/>
      <c r="CF299" s="47"/>
      <c r="CG299" s="47"/>
      <c r="CH299" s="48">
        <f>TRUNC(CI299+CJ299+CK299,0)</f>
        <v>20905</v>
      </c>
      <c r="CI299" s="48">
        <f>TRUNC(CI302+CI307,0)</f>
        <v>14525</v>
      </c>
      <c r="CJ299" s="49">
        <f>TRUNC(CJ303+CJ310,0)</f>
        <v>2295</v>
      </c>
      <c r="CK299" s="49">
        <f>TRUNC(CK304,0)</f>
        <v>4085</v>
      </c>
      <c r="CL299" s="98">
        <v>8215</v>
      </c>
    </row>
    <row r="300" spans="2:90" ht="18" customHeight="1" x14ac:dyDescent="0.25">
      <c r="B300" s="26"/>
      <c r="C300" s="23"/>
      <c r="D300" s="23" t="s">
        <v>62</v>
      </c>
      <c r="E300" s="23"/>
      <c r="F300" s="23"/>
      <c r="G300" s="23" t="s">
        <v>77</v>
      </c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  <c r="BX300" s="23"/>
      <c r="BY300" s="23"/>
      <c r="BZ300" s="23"/>
      <c r="CA300" s="23"/>
      <c r="CB300" s="23"/>
      <c r="CC300" s="23"/>
      <c r="CD300" s="23"/>
      <c r="CE300" s="23"/>
      <c r="CF300" s="23"/>
      <c r="CG300" s="23"/>
      <c r="CH300" s="27"/>
      <c r="CI300" s="27"/>
      <c r="CJ300" s="28"/>
      <c r="CK300" s="28"/>
      <c r="CL300" s="39" t="s">
        <v>89</v>
      </c>
    </row>
    <row r="301" spans="2:90" ht="18" customHeight="1" x14ac:dyDescent="0.25">
      <c r="B301" s="26"/>
      <c r="C301" s="23"/>
      <c r="D301" s="23"/>
      <c r="E301" s="23"/>
      <c r="F301" s="23"/>
      <c r="G301" s="23" t="s">
        <v>68</v>
      </c>
      <c r="H301" s="23"/>
      <c r="I301" s="23"/>
      <c r="J301" s="23"/>
      <c r="K301" s="23" t="str">
        <f>TEXT(4.1,"#,##0.#######")</f>
        <v>4.1</v>
      </c>
      <c r="L301" s="23"/>
      <c r="M301" s="23"/>
      <c r="N301" s="23" t="s">
        <v>69</v>
      </c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34"/>
      <c r="AE301" s="34"/>
      <c r="AF301" s="34"/>
      <c r="AG301" s="34"/>
      <c r="AH301" s="34"/>
      <c r="AI301" s="34"/>
      <c r="AJ301" s="34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  <c r="BX301" s="23"/>
      <c r="BY301" s="23"/>
      <c r="BZ301" s="23"/>
      <c r="CA301" s="23"/>
      <c r="CB301" s="23"/>
      <c r="CC301" s="23"/>
      <c r="CD301" s="23"/>
      <c r="CE301" s="23"/>
      <c r="CF301" s="23"/>
      <c r="CG301" s="23"/>
      <c r="CH301" s="27"/>
      <c r="CI301" s="27"/>
      <c r="CJ301" s="28"/>
      <c r="CK301" s="28"/>
      <c r="CL301" s="39"/>
    </row>
    <row r="302" spans="2:90" ht="18" customHeight="1" x14ac:dyDescent="0.25">
      <c r="B302" s="26"/>
      <c r="C302" s="23"/>
      <c r="D302" s="23"/>
      <c r="E302" s="23"/>
      <c r="F302" s="23"/>
      <c r="G302" s="23"/>
      <c r="H302" s="23" t="s">
        <v>52</v>
      </c>
      <c r="I302" s="23"/>
      <c r="J302" s="23"/>
      <c r="K302" s="23"/>
      <c r="L302" s="23"/>
      <c r="M302" s="23" t="s">
        <v>43</v>
      </c>
      <c r="N302" s="23" t="str">
        <f>TEXT([1]기계경비총괄표!G10,"#,##0.#######")</f>
        <v>42,267.</v>
      </c>
      <c r="O302" s="23"/>
      <c r="P302" s="23"/>
      <c r="Q302" s="23"/>
      <c r="R302" s="23"/>
      <c r="S302" s="23"/>
      <c r="T302" s="23"/>
      <c r="U302" s="23" t="s">
        <v>47</v>
      </c>
      <c r="V302" s="23"/>
      <c r="W302" s="23"/>
      <c r="X302" s="23" t="str">
        <f>TEXT(K301,"#,##0.#######")</f>
        <v>4.1</v>
      </c>
      <c r="Y302" s="23"/>
      <c r="Z302" s="23"/>
      <c r="AA302" s="23" t="s">
        <v>46</v>
      </c>
      <c r="AB302" s="23"/>
      <c r="AC302" s="23"/>
      <c r="AD302" s="23" t="str">
        <f>TEXT(TRUNC(N302/X302,1),"#,##0.#")</f>
        <v>10,309.</v>
      </c>
      <c r="AE302" s="23"/>
      <c r="AF302" s="23"/>
      <c r="AG302" s="23"/>
      <c r="AH302" s="23"/>
      <c r="AI302" s="23"/>
      <c r="AJ302" s="23" t="s">
        <v>66</v>
      </c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  <c r="BX302" s="23"/>
      <c r="BY302" s="23"/>
      <c r="BZ302" s="23"/>
      <c r="CA302" s="23"/>
      <c r="CB302" s="23"/>
      <c r="CC302" s="23"/>
      <c r="CD302" s="23"/>
      <c r="CE302" s="23"/>
      <c r="CF302" s="23"/>
      <c r="CG302" s="23"/>
      <c r="CH302" s="27"/>
      <c r="CI302" s="27" t="str">
        <f>AD302</f>
        <v>10,309.</v>
      </c>
      <c r="CJ302" s="28"/>
      <c r="CK302" s="28"/>
      <c r="CL302" s="39"/>
    </row>
    <row r="303" spans="2:90" ht="18" customHeight="1" x14ac:dyDescent="0.25">
      <c r="B303" s="26"/>
      <c r="C303" s="23"/>
      <c r="D303" s="23"/>
      <c r="E303" s="23"/>
      <c r="F303" s="23"/>
      <c r="G303" s="23"/>
      <c r="H303" s="23" t="s">
        <v>53</v>
      </c>
      <c r="I303" s="23"/>
      <c r="J303" s="23"/>
      <c r="K303" s="23"/>
      <c r="L303" s="23"/>
      <c r="M303" s="23" t="s">
        <v>43</v>
      </c>
      <c r="N303" s="23" t="str">
        <f>TEXT([1]기계경비총괄표!F10,"#,##0.#######")</f>
        <v>8,631.3</v>
      </c>
      <c r="O303" s="23"/>
      <c r="P303" s="23"/>
      <c r="Q303" s="23"/>
      <c r="R303" s="23"/>
      <c r="S303" s="23"/>
      <c r="T303" s="23"/>
      <c r="U303" s="23" t="s">
        <v>47</v>
      </c>
      <c r="V303" s="23"/>
      <c r="W303" s="23"/>
      <c r="X303" s="23" t="str">
        <f>TEXT(K301,"#,##0.#######")</f>
        <v>4.1</v>
      </c>
      <c r="Y303" s="23"/>
      <c r="Z303" s="23"/>
      <c r="AA303" s="23" t="s">
        <v>46</v>
      </c>
      <c r="AB303" s="23"/>
      <c r="AC303" s="23"/>
      <c r="AD303" s="23" t="str">
        <f>TEXT(TRUNC(N303/X303,1),"#,##0.#")</f>
        <v>2,105.1</v>
      </c>
      <c r="AE303" s="23"/>
      <c r="AF303" s="23"/>
      <c r="AG303" s="23"/>
      <c r="AH303" s="23"/>
      <c r="AI303" s="23"/>
      <c r="AJ303" s="23" t="s">
        <v>66</v>
      </c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  <c r="BX303" s="23"/>
      <c r="BY303" s="23"/>
      <c r="BZ303" s="23"/>
      <c r="CA303" s="23"/>
      <c r="CB303" s="23"/>
      <c r="CC303" s="23"/>
      <c r="CD303" s="23"/>
      <c r="CE303" s="23"/>
      <c r="CF303" s="23"/>
      <c r="CG303" s="23"/>
      <c r="CH303" s="27"/>
      <c r="CI303" s="27"/>
      <c r="CJ303" s="28" t="str">
        <f>AD303</f>
        <v>2,105.1</v>
      </c>
      <c r="CK303" s="28"/>
      <c r="CL303" s="39"/>
    </row>
    <row r="304" spans="2:90" ht="18" customHeight="1" x14ac:dyDescent="0.25">
      <c r="B304" s="26"/>
      <c r="C304" s="23"/>
      <c r="D304" s="23"/>
      <c r="E304" s="23"/>
      <c r="F304" s="23"/>
      <c r="G304" s="23"/>
      <c r="H304" s="23" t="s">
        <v>171</v>
      </c>
      <c r="I304" s="23"/>
      <c r="J304" s="23"/>
      <c r="K304" s="23"/>
      <c r="L304" s="23" t="s">
        <v>43</v>
      </c>
      <c r="M304" s="23"/>
      <c r="N304" s="23" t="str">
        <f>TEXT([1]기계경비총괄표!H10,"#,##0.#######")</f>
        <v>16,751.7</v>
      </c>
      <c r="O304" s="23"/>
      <c r="P304" s="23"/>
      <c r="Q304" s="23"/>
      <c r="R304" s="23"/>
      <c r="S304" s="23"/>
      <c r="T304" s="23"/>
      <c r="U304" s="23" t="s">
        <v>47</v>
      </c>
      <c r="V304" s="23"/>
      <c r="W304" s="23"/>
      <c r="X304" s="23" t="str">
        <f>TEXT(K301,"#,##0.#######")</f>
        <v>4.1</v>
      </c>
      <c r="Y304" s="23"/>
      <c r="Z304" s="23"/>
      <c r="AA304" s="23" t="s">
        <v>46</v>
      </c>
      <c r="AB304" s="23"/>
      <c r="AC304" s="23"/>
      <c r="AD304" s="23" t="str">
        <f>TEXT(TRUNC(N304/X304,1),"#,##0.#")</f>
        <v>4,085.7</v>
      </c>
      <c r="AE304" s="23"/>
      <c r="AF304" s="23"/>
      <c r="AG304" s="23"/>
      <c r="AH304" s="23"/>
      <c r="AI304" s="23"/>
      <c r="AJ304" s="23" t="s">
        <v>66</v>
      </c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  <c r="BX304" s="23"/>
      <c r="BY304" s="23"/>
      <c r="BZ304" s="23"/>
      <c r="CA304" s="23"/>
      <c r="CB304" s="23"/>
      <c r="CC304" s="23"/>
      <c r="CD304" s="23"/>
      <c r="CE304" s="23"/>
      <c r="CF304" s="23"/>
      <c r="CG304" s="23"/>
      <c r="CH304" s="27"/>
      <c r="CI304" s="27"/>
      <c r="CJ304" s="28"/>
      <c r="CK304" s="28" t="str">
        <f>AD304</f>
        <v>4,085.7</v>
      </c>
      <c r="CL304" s="39"/>
    </row>
    <row r="305" spans="2:90" ht="18" customHeight="1" x14ac:dyDescent="0.25">
      <c r="B305" s="26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  <c r="BX305" s="23"/>
      <c r="BY305" s="23"/>
      <c r="BZ305" s="23"/>
      <c r="CA305" s="23"/>
      <c r="CB305" s="23"/>
      <c r="CC305" s="23"/>
      <c r="CD305" s="23"/>
      <c r="CE305" s="23"/>
      <c r="CF305" s="23"/>
      <c r="CG305" s="23"/>
      <c r="CH305" s="27"/>
      <c r="CI305" s="27"/>
      <c r="CJ305" s="28"/>
      <c r="CK305" s="28"/>
      <c r="CL305" s="39"/>
    </row>
    <row r="306" spans="2:90" ht="18" customHeight="1" x14ac:dyDescent="0.25">
      <c r="B306" s="26"/>
      <c r="C306" s="23"/>
      <c r="D306" s="23" t="s">
        <v>49</v>
      </c>
      <c r="E306" s="23"/>
      <c r="F306" s="23"/>
      <c r="G306" s="23" t="s">
        <v>70</v>
      </c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  <c r="BX306" s="23"/>
      <c r="BY306" s="23"/>
      <c r="BZ306" s="23"/>
      <c r="CA306" s="23"/>
      <c r="CB306" s="23"/>
      <c r="CC306" s="23"/>
      <c r="CD306" s="23"/>
      <c r="CE306" s="23"/>
      <c r="CF306" s="23"/>
      <c r="CG306" s="23"/>
      <c r="CH306" s="27"/>
      <c r="CI306" s="27"/>
      <c r="CJ306" s="28"/>
      <c r="CK306" s="28"/>
      <c r="CL306" s="39"/>
    </row>
    <row r="307" spans="2:90" ht="18" customHeight="1" x14ac:dyDescent="0.25">
      <c r="B307" s="26"/>
      <c r="C307" s="23"/>
      <c r="D307" s="29"/>
      <c r="E307" s="23"/>
      <c r="F307" s="23"/>
      <c r="G307" s="23"/>
      <c r="H307" s="23" t="s">
        <v>71</v>
      </c>
      <c r="I307" s="23"/>
      <c r="J307" s="23"/>
      <c r="K307" s="23"/>
      <c r="L307" s="23"/>
      <c r="M307" s="23"/>
      <c r="N307" s="23"/>
      <c r="O307" s="23"/>
      <c r="P307" s="23" t="str">
        <f>TEXT([1]노임및중기단가!I8,"#,##0.#######")</f>
        <v>138,290.</v>
      </c>
      <c r="Q307" s="23"/>
      <c r="R307" s="23"/>
      <c r="S307" s="23"/>
      <c r="T307" s="23"/>
      <c r="U307" s="23"/>
      <c r="V307" s="23"/>
      <c r="W307" s="23" t="s">
        <v>48</v>
      </c>
      <c r="X307" s="23"/>
      <c r="Y307" s="23"/>
      <c r="Z307" s="23" t="str">
        <f>TEXT(1,"#,##0.#######")</f>
        <v>1.</v>
      </c>
      <c r="AA307" s="23"/>
      <c r="AB307" s="23" t="s">
        <v>44</v>
      </c>
      <c r="AC307" s="23"/>
      <c r="AD307" s="23"/>
      <c r="AE307" s="23" t="s">
        <v>47</v>
      </c>
      <c r="AF307" s="23"/>
      <c r="AG307" s="23" t="s">
        <v>41</v>
      </c>
      <c r="AH307" s="23" t="str">
        <f>TEXT(8,"#,##0.#######")</f>
        <v>8.</v>
      </c>
      <c r="AI307" s="23"/>
      <c r="AJ307" s="23" t="s">
        <v>50</v>
      </c>
      <c r="AK307" s="23"/>
      <c r="AL307" s="23"/>
      <c r="AM307" s="23" t="s">
        <v>48</v>
      </c>
      <c r="AN307" s="23"/>
      <c r="AO307" s="23"/>
      <c r="AP307" s="23" t="str">
        <f>TEXT(K301,"#,##0.#######")</f>
        <v>4.1</v>
      </c>
      <c r="AQ307" s="23"/>
      <c r="AR307" s="23"/>
      <c r="AS307" s="23" t="s">
        <v>42</v>
      </c>
      <c r="AT307" s="23"/>
      <c r="AU307" s="23"/>
      <c r="AV307" s="23"/>
      <c r="AW307" s="23" t="s">
        <v>46</v>
      </c>
      <c r="AX307" s="23"/>
      <c r="AY307" s="23"/>
      <c r="AZ307" s="23" t="str">
        <f>TEXT(TRUNC(P307*Z307/(AH307*AP307),1),"#,##0.#")</f>
        <v>4,216.1</v>
      </c>
      <c r="BA307" s="23"/>
      <c r="BB307" s="23"/>
      <c r="BC307" s="23"/>
      <c r="BD307" s="23"/>
      <c r="BE307" s="23"/>
      <c r="BF307" s="23" t="s">
        <v>66</v>
      </c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  <c r="BX307" s="23"/>
      <c r="BY307" s="23"/>
      <c r="BZ307" s="23"/>
      <c r="CA307" s="23"/>
      <c r="CB307" s="23"/>
      <c r="CC307" s="23"/>
      <c r="CD307" s="23"/>
      <c r="CE307" s="23"/>
      <c r="CF307" s="23"/>
      <c r="CG307" s="23"/>
      <c r="CH307" s="27"/>
      <c r="CI307" s="27" t="str">
        <f>AZ307</f>
        <v>4,216.1</v>
      </c>
      <c r="CJ307" s="28"/>
      <c r="CK307" s="28"/>
      <c r="CL307" s="39"/>
    </row>
    <row r="308" spans="2:90" ht="18" customHeight="1" x14ac:dyDescent="0.25">
      <c r="B308" s="26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34"/>
      <c r="BR308" s="34"/>
      <c r="BS308" s="34"/>
      <c r="BT308" s="34"/>
      <c r="BU308" s="34"/>
      <c r="BV308" s="34"/>
      <c r="BW308" s="34"/>
      <c r="BX308" s="34"/>
      <c r="BY308" s="34"/>
      <c r="BZ308" s="34"/>
      <c r="CA308" s="34"/>
      <c r="CB308" s="34"/>
      <c r="CC308" s="34"/>
      <c r="CD308" s="34"/>
      <c r="CE308" s="34"/>
      <c r="CF308" s="34"/>
      <c r="CG308" s="34"/>
      <c r="CH308" s="27"/>
      <c r="CI308" s="27"/>
      <c r="CJ308" s="28"/>
      <c r="CK308" s="28"/>
      <c r="CL308" s="57"/>
    </row>
    <row r="309" spans="2:90" ht="18" customHeight="1" x14ac:dyDescent="0.25">
      <c r="B309" s="26"/>
      <c r="C309" s="23"/>
      <c r="D309" s="23" t="s">
        <v>51</v>
      </c>
      <c r="E309" s="23"/>
      <c r="F309" s="23"/>
      <c r="G309" s="23" t="s">
        <v>76</v>
      </c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34"/>
      <c r="BL309" s="34"/>
      <c r="BM309" s="34"/>
      <c r="BN309" s="34"/>
      <c r="BO309" s="34"/>
      <c r="BP309" s="34"/>
      <c r="BQ309" s="34"/>
      <c r="BR309" s="34"/>
      <c r="BS309" s="34"/>
      <c r="BT309" s="34"/>
      <c r="BU309" s="34"/>
      <c r="BV309" s="34"/>
      <c r="BW309" s="34"/>
      <c r="BX309" s="34"/>
      <c r="BY309" s="34"/>
      <c r="BZ309" s="34"/>
      <c r="CA309" s="34"/>
      <c r="CB309" s="34"/>
      <c r="CC309" s="34"/>
      <c r="CD309" s="34"/>
      <c r="CE309" s="34"/>
      <c r="CF309" s="34"/>
      <c r="CG309" s="34"/>
      <c r="CH309" s="27"/>
      <c r="CI309" s="27"/>
      <c r="CJ309" s="28"/>
      <c r="CK309" s="28"/>
      <c r="CL309" s="57"/>
    </row>
    <row r="310" spans="2:90" ht="18" customHeight="1" x14ac:dyDescent="0.25">
      <c r="B310" s="26"/>
      <c r="C310" s="23"/>
      <c r="D310" s="23"/>
      <c r="E310" s="23"/>
      <c r="F310" s="23"/>
      <c r="G310" s="23"/>
      <c r="H310" s="23" t="str">
        <f>TEXT(0.01,"#,##0.#######")</f>
        <v>0.01</v>
      </c>
      <c r="I310" s="23"/>
      <c r="J310" s="23"/>
      <c r="K310" s="23"/>
      <c r="L310" s="23" t="s">
        <v>72</v>
      </c>
      <c r="M310" s="23"/>
      <c r="N310" s="23"/>
      <c r="O310" s="29"/>
      <c r="P310" s="29"/>
      <c r="Q310" s="23" t="s">
        <v>48</v>
      </c>
      <c r="R310" s="23"/>
      <c r="S310" s="23"/>
      <c r="T310" s="23" t="str">
        <f>TEXT([1]자재단가!M85,"#,##0.#######")</f>
        <v>78,100.</v>
      </c>
      <c r="U310" s="23"/>
      <c r="V310" s="23"/>
      <c r="W310" s="23"/>
      <c r="X310" s="23"/>
      <c r="Y310" s="23"/>
      <c r="Z310" s="23"/>
      <c r="AA310" s="23" t="s">
        <v>73</v>
      </c>
      <c r="AB310" s="29"/>
      <c r="AC310" s="29"/>
      <c r="AD310" s="29"/>
      <c r="AE310" s="29"/>
      <c r="AF310" s="23" t="s">
        <v>47</v>
      </c>
      <c r="AG310" s="23"/>
      <c r="AH310" s="23"/>
      <c r="AI310" s="23" t="str">
        <f>TEXT(K301,"#,##0.#######")</f>
        <v>4.1</v>
      </c>
      <c r="AJ310" s="23"/>
      <c r="AK310" s="23"/>
      <c r="AL310" s="23"/>
      <c r="AM310" s="23" t="s">
        <v>69</v>
      </c>
      <c r="AN310" s="23"/>
      <c r="AO310" s="23"/>
      <c r="AP310" s="23"/>
      <c r="AQ310" s="23"/>
      <c r="AR310" s="23"/>
      <c r="AS310" s="23" t="s">
        <v>46</v>
      </c>
      <c r="AT310" s="23"/>
      <c r="AU310" s="23"/>
      <c r="AV310" s="23" t="str">
        <f>TEXT(TRUNC(H310*T310/AI310,1),"#,##0.#")</f>
        <v>190.4</v>
      </c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34"/>
      <c r="BL310" s="34"/>
      <c r="BM310" s="34"/>
      <c r="BN310" s="34"/>
      <c r="BO310" s="34"/>
      <c r="BP310" s="34"/>
      <c r="BQ310" s="34"/>
      <c r="BR310" s="34"/>
      <c r="BS310" s="34"/>
      <c r="BT310" s="34"/>
      <c r="BU310" s="34"/>
      <c r="BV310" s="34"/>
      <c r="BW310" s="34"/>
      <c r="BX310" s="34"/>
      <c r="BY310" s="34"/>
      <c r="BZ310" s="34"/>
      <c r="CA310" s="34"/>
      <c r="CB310" s="34"/>
      <c r="CC310" s="34"/>
      <c r="CD310" s="34"/>
      <c r="CE310" s="34"/>
      <c r="CF310" s="34"/>
      <c r="CG310" s="34"/>
      <c r="CH310" s="27"/>
      <c r="CI310" s="27"/>
      <c r="CJ310" s="28" t="str">
        <f>AV310</f>
        <v>190.4</v>
      </c>
      <c r="CK310" s="28"/>
      <c r="CL310" s="57"/>
    </row>
    <row r="311" spans="2:90" ht="18" customHeight="1" x14ac:dyDescent="0.25">
      <c r="B311" s="26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34"/>
      <c r="BL311" s="34"/>
      <c r="BM311" s="34"/>
      <c r="BN311" s="34"/>
      <c r="BO311" s="34"/>
      <c r="BP311" s="34"/>
      <c r="BQ311" s="34"/>
      <c r="BR311" s="34"/>
      <c r="BS311" s="34"/>
      <c r="BT311" s="34"/>
      <c r="BU311" s="34"/>
      <c r="BV311" s="34"/>
      <c r="BW311" s="34"/>
      <c r="BX311" s="34"/>
      <c r="BY311" s="34"/>
      <c r="BZ311" s="34"/>
      <c r="CA311" s="34"/>
      <c r="CB311" s="34"/>
      <c r="CC311" s="34"/>
      <c r="CD311" s="34"/>
      <c r="CE311" s="34"/>
      <c r="CF311" s="34"/>
      <c r="CG311" s="34"/>
      <c r="CH311" s="27"/>
      <c r="CI311" s="27"/>
      <c r="CJ311" s="28"/>
      <c r="CK311" s="28"/>
      <c r="CL311" s="57"/>
    </row>
    <row r="312" spans="2:90" ht="18" customHeight="1" x14ac:dyDescent="0.25">
      <c r="B312" s="22"/>
      <c r="C312" s="23"/>
      <c r="D312" s="23"/>
      <c r="E312" s="23"/>
      <c r="F312" s="23"/>
      <c r="G312" s="23" t="s">
        <v>52</v>
      </c>
      <c r="H312" s="23"/>
      <c r="I312" s="23"/>
      <c r="J312" s="23"/>
      <c r="K312" s="23"/>
      <c r="L312" s="23"/>
      <c r="M312" s="23"/>
      <c r="N312" s="23" t="s">
        <v>43</v>
      </c>
      <c r="O312" s="23"/>
      <c r="P312" s="23" t="str">
        <f>AD302</f>
        <v>10,309.</v>
      </c>
      <c r="Q312" s="23"/>
      <c r="R312" s="23"/>
      <c r="S312" s="23"/>
      <c r="T312" s="23"/>
      <c r="U312" s="23"/>
      <c r="V312" s="23"/>
      <c r="W312" s="23" t="s">
        <v>45</v>
      </c>
      <c r="X312" s="23"/>
      <c r="Y312" s="23" t="str">
        <f>AZ307</f>
        <v>4,216.1</v>
      </c>
      <c r="Z312" s="23"/>
      <c r="AA312" s="23"/>
      <c r="AB312" s="23"/>
      <c r="AC312" s="23"/>
      <c r="AD312" s="23"/>
      <c r="AE312" s="23"/>
      <c r="AF312" s="23"/>
      <c r="AG312" s="23">
        <f>AE308</f>
        <v>0</v>
      </c>
      <c r="AH312" s="23"/>
      <c r="AI312" s="23"/>
      <c r="AJ312" s="23"/>
      <c r="AK312" s="23"/>
      <c r="AL312" s="23"/>
      <c r="AM312" s="23" t="s">
        <v>46</v>
      </c>
      <c r="AN312" s="23"/>
      <c r="AO312" s="23" t="str">
        <f>TEXT(TRUNC(P312+Y312,1),"#,##0.#")</f>
        <v>14,525.1</v>
      </c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  <c r="BX312" s="23"/>
      <c r="BY312" s="23"/>
      <c r="BZ312" s="23"/>
      <c r="CA312" s="23"/>
      <c r="CB312" s="23"/>
      <c r="CC312" s="23"/>
      <c r="CD312" s="23"/>
      <c r="CE312" s="23"/>
      <c r="CF312" s="23"/>
      <c r="CG312" s="23"/>
      <c r="CH312" s="24"/>
      <c r="CI312" s="24"/>
      <c r="CJ312" s="25"/>
      <c r="CK312" s="52"/>
      <c r="CL312" s="56"/>
    </row>
    <row r="313" spans="2:90" ht="18" customHeight="1" x14ac:dyDescent="0.25">
      <c r="B313" s="22"/>
      <c r="C313" s="23"/>
      <c r="D313" s="23"/>
      <c r="E313" s="23"/>
      <c r="F313" s="23"/>
      <c r="G313" s="23" t="s">
        <v>53</v>
      </c>
      <c r="H313" s="23"/>
      <c r="I313" s="23"/>
      <c r="J313" s="23"/>
      <c r="K313" s="23"/>
      <c r="L313" s="23"/>
      <c r="M313" s="23"/>
      <c r="N313" s="23" t="s">
        <v>43</v>
      </c>
      <c r="O313" s="23"/>
      <c r="P313" s="23" t="str">
        <f>AD303</f>
        <v>2,105.1</v>
      </c>
      <c r="Q313" s="23"/>
      <c r="R313" s="23"/>
      <c r="S313" s="23"/>
      <c r="T313" s="23"/>
      <c r="U313" s="23"/>
      <c r="V313" s="23"/>
      <c r="W313" s="23" t="s">
        <v>45</v>
      </c>
      <c r="X313" s="23"/>
      <c r="Y313" s="23" t="str">
        <f>AV310</f>
        <v>190.4</v>
      </c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 t="s">
        <v>46</v>
      </c>
      <c r="AN313" s="23"/>
      <c r="AO313" s="23" t="str">
        <f>TEXT(TRUNC(P313+Y313,1),"#,##0.#")</f>
        <v>2,295.5</v>
      </c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  <c r="BX313" s="23"/>
      <c r="BY313" s="23"/>
      <c r="BZ313" s="23"/>
      <c r="CA313" s="23"/>
      <c r="CB313" s="23"/>
      <c r="CC313" s="23"/>
      <c r="CD313" s="23"/>
      <c r="CE313" s="23"/>
      <c r="CF313" s="23"/>
      <c r="CG313" s="23"/>
      <c r="CH313" s="24"/>
      <c r="CI313" s="24"/>
      <c r="CJ313" s="25"/>
      <c r="CK313" s="25"/>
      <c r="CL313" s="56"/>
    </row>
    <row r="314" spans="2:90" ht="18" customHeight="1" x14ac:dyDescent="0.25">
      <c r="B314" s="22"/>
      <c r="C314" s="23"/>
      <c r="D314" s="23"/>
      <c r="E314" s="23"/>
      <c r="F314" s="23"/>
      <c r="G314" s="23" t="s">
        <v>63</v>
      </c>
      <c r="H314" s="23"/>
      <c r="I314" s="23"/>
      <c r="J314" s="23"/>
      <c r="K314" s="23" t="s">
        <v>64</v>
      </c>
      <c r="L314" s="23"/>
      <c r="M314" s="23"/>
      <c r="N314" s="23" t="s">
        <v>43</v>
      </c>
      <c r="O314" s="23"/>
      <c r="P314" s="23" t="str">
        <f>AD304</f>
        <v>4,085.7</v>
      </c>
      <c r="Q314" s="23"/>
      <c r="R314" s="23"/>
      <c r="S314" s="23"/>
      <c r="T314" s="23"/>
      <c r="U314" s="23"/>
      <c r="V314" s="23"/>
      <c r="W314" s="23"/>
      <c r="X314" s="23"/>
      <c r="Y314" s="23">
        <f>AE310</f>
        <v>0</v>
      </c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 t="s">
        <v>46</v>
      </c>
      <c r="AN314" s="23"/>
      <c r="AO314" s="23" t="str">
        <f>TEXT(TRUNC(P314,1),"#,##0.#")</f>
        <v>4,085.7</v>
      </c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  <c r="BX314" s="23"/>
      <c r="BY314" s="23"/>
      <c r="BZ314" s="23"/>
      <c r="CA314" s="23"/>
      <c r="CB314" s="23"/>
      <c r="CC314" s="23"/>
      <c r="CD314" s="23"/>
      <c r="CE314" s="23"/>
      <c r="CF314" s="23"/>
      <c r="CG314" s="23"/>
      <c r="CH314" s="27"/>
      <c r="CI314" s="27"/>
      <c r="CJ314" s="28"/>
      <c r="CK314" s="28"/>
      <c r="CL314" s="39"/>
    </row>
    <row r="315" spans="2:90" ht="18" customHeight="1" x14ac:dyDescent="0.25">
      <c r="B315" s="22"/>
      <c r="C315" s="23"/>
      <c r="D315" s="23"/>
      <c r="E315" s="23"/>
      <c r="F315" s="23"/>
      <c r="G315" s="23" t="s">
        <v>65</v>
      </c>
      <c r="H315" s="23"/>
      <c r="I315" s="23"/>
      <c r="J315" s="23"/>
      <c r="K315" s="23" t="s">
        <v>40</v>
      </c>
      <c r="L315" s="23"/>
      <c r="M315" s="23"/>
      <c r="N315" s="23" t="s">
        <v>43</v>
      </c>
      <c r="O315" s="23"/>
      <c r="P315" s="23" t="str">
        <f>TEXT(AO312+AO313+AO314,"#,##0.#######")</f>
        <v>20,906.3</v>
      </c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  <c r="BX315" s="23"/>
      <c r="BY315" s="23"/>
      <c r="BZ315" s="23"/>
      <c r="CA315" s="23"/>
      <c r="CB315" s="23"/>
      <c r="CC315" s="23"/>
      <c r="CD315" s="23"/>
      <c r="CE315" s="23"/>
      <c r="CF315" s="23"/>
      <c r="CG315" s="23"/>
      <c r="CH315" s="27">
        <f>CI315+CJ315+CK315</f>
        <v>20906.3</v>
      </c>
      <c r="CI315" s="27" t="str">
        <f>AO312</f>
        <v>14,525.1</v>
      </c>
      <c r="CJ315" s="28" t="str">
        <f>AO313</f>
        <v>2,295.5</v>
      </c>
      <c r="CK315" s="28" t="str">
        <f>AO314</f>
        <v>4,085.7</v>
      </c>
      <c r="CL315" s="39"/>
    </row>
    <row r="316" spans="2:90" ht="18" customHeight="1" x14ac:dyDescent="0.25">
      <c r="B316" s="22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  <c r="BX316" s="23"/>
      <c r="BY316" s="23"/>
      <c r="BZ316" s="23"/>
      <c r="CA316" s="23"/>
      <c r="CB316" s="23"/>
      <c r="CC316" s="23"/>
      <c r="CD316" s="23"/>
      <c r="CE316" s="23"/>
      <c r="CF316" s="23"/>
      <c r="CG316" s="23"/>
      <c r="CH316" s="24"/>
      <c r="CI316" s="24"/>
      <c r="CJ316" s="25"/>
      <c r="CK316" s="25"/>
      <c r="CL316" s="56"/>
    </row>
    <row r="317" spans="2:90" ht="18" customHeight="1" x14ac:dyDescent="0.25">
      <c r="B317" s="46" t="s">
        <v>84</v>
      </c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47"/>
      <c r="AD317" s="47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  <c r="AP317" s="47"/>
      <c r="AQ317" s="47"/>
      <c r="AR317" s="47"/>
      <c r="AS317" s="47"/>
      <c r="AT317" s="47"/>
      <c r="AU317" s="47"/>
      <c r="AV317" s="47"/>
      <c r="AW317" s="47"/>
      <c r="AX317" s="47"/>
      <c r="AY317" s="47"/>
      <c r="AZ317" s="47"/>
      <c r="BA317" s="47"/>
      <c r="BB317" s="47"/>
      <c r="BC317" s="47"/>
      <c r="BD317" s="47"/>
      <c r="BE317" s="47"/>
      <c r="BF317" s="47"/>
      <c r="BG317" s="47"/>
      <c r="BH317" s="47"/>
      <c r="BI317" s="47"/>
      <c r="BJ317" s="47"/>
      <c r="BK317" s="47"/>
      <c r="BL317" s="47"/>
      <c r="BM317" s="47"/>
      <c r="BN317" s="47"/>
      <c r="BO317" s="47"/>
      <c r="BP317" s="47"/>
      <c r="BQ317" s="47"/>
      <c r="BR317" s="47"/>
      <c r="BS317" s="47"/>
      <c r="BT317" s="47"/>
      <c r="BU317" s="47"/>
      <c r="BV317" s="47"/>
      <c r="BW317" s="47"/>
      <c r="BX317" s="47"/>
      <c r="BY317" s="47"/>
      <c r="BZ317" s="47"/>
      <c r="CA317" s="47"/>
      <c r="CB317" s="47"/>
      <c r="CC317" s="47"/>
      <c r="CD317" s="47"/>
      <c r="CE317" s="47"/>
      <c r="CF317" s="47"/>
      <c r="CG317" s="47"/>
      <c r="CH317" s="48">
        <f>TRUNC(CI317+CJ317+CK317,0)</f>
        <v>20188</v>
      </c>
      <c r="CI317" s="48">
        <f>TRUNC(CI320+CI325,0)</f>
        <v>14525</v>
      </c>
      <c r="CJ317" s="49">
        <f>TRUNC(CJ321+CJ328,0)</f>
        <v>2024</v>
      </c>
      <c r="CK317" s="49">
        <f>TRUNC(CK322,0)</f>
        <v>3639</v>
      </c>
      <c r="CL317" s="98">
        <v>8215</v>
      </c>
    </row>
    <row r="318" spans="2:90" ht="18" customHeight="1" x14ac:dyDescent="0.25">
      <c r="B318" s="26"/>
      <c r="C318" s="23"/>
      <c r="D318" s="23" t="s">
        <v>62</v>
      </c>
      <c r="E318" s="23"/>
      <c r="F318" s="23"/>
      <c r="G318" s="23" t="s">
        <v>74</v>
      </c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  <c r="BX318" s="23"/>
      <c r="BY318" s="23"/>
      <c r="BZ318" s="23"/>
      <c r="CA318" s="23"/>
      <c r="CB318" s="23"/>
      <c r="CC318" s="23"/>
      <c r="CD318" s="23"/>
      <c r="CE318" s="23"/>
      <c r="CF318" s="23"/>
      <c r="CG318" s="23"/>
      <c r="CH318" s="27"/>
      <c r="CI318" s="27"/>
      <c r="CJ318" s="28"/>
      <c r="CK318" s="28"/>
      <c r="CL318" s="39" t="s">
        <v>89</v>
      </c>
    </row>
    <row r="319" spans="2:90" ht="18" customHeight="1" x14ac:dyDescent="0.25">
      <c r="B319" s="26"/>
      <c r="C319" s="23"/>
      <c r="D319" s="23"/>
      <c r="E319" s="23"/>
      <c r="F319" s="23"/>
      <c r="G319" s="23" t="s">
        <v>68</v>
      </c>
      <c r="H319" s="23"/>
      <c r="I319" s="23"/>
      <c r="J319" s="23"/>
      <c r="K319" s="23" t="str">
        <f>TEXT(4.1,"#,##0.#######")</f>
        <v>4.1</v>
      </c>
      <c r="L319" s="23"/>
      <c r="M319" s="23"/>
      <c r="N319" s="23" t="s">
        <v>69</v>
      </c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34"/>
      <c r="AE319" s="34"/>
      <c r="AF319" s="34"/>
      <c r="AG319" s="34"/>
      <c r="AH319" s="34"/>
      <c r="AI319" s="34"/>
      <c r="AJ319" s="34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  <c r="BX319" s="23"/>
      <c r="BY319" s="23"/>
      <c r="BZ319" s="23"/>
      <c r="CA319" s="23"/>
      <c r="CB319" s="23"/>
      <c r="CC319" s="23"/>
      <c r="CD319" s="23"/>
      <c r="CE319" s="23"/>
      <c r="CF319" s="23"/>
      <c r="CG319" s="23"/>
      <c r="CH319" s="27"/>
      <c r="CI319" s="27"/>
      <c r="CJ319" s="28"/>
      <c r="CK319" s="28"/>
      <c r="CL319" s="39"/>
    </row>
    <row r="320" spans="2:90" ht="18" customHeight="1" x14ac:dyDescent="0.25">
      <c r="B320" s="26"/>
      <c r="C320" s="23"/>
      <c r="D320" s="23"/>
      <c r="E320" s="23"/>
      <c r="F320" s="23"/>
      <c r="G320" s="23"/>
      <c r="H320" s="23" t="s">
        <v>52</v>
      </c>
      <c r="I320" s="23"/>
      <c r="J320" s="23"/>
      <c r="K320" s="23"/>
      <c r="L320" s="23"/>
      <c r="M320" s="23" t="s">
        <v>43</v>
      </c>
      <c r="N320" s="23" t="str">
        <f>TEXT([1]기계경비총괄표!G12,"#,##0.#######")</f>
        <v>42,267.</v>
      </c>
      <c r="O320" s="23"/>
      <c r="P320" s="23"/>
      <c r="Q320" s="23"/>
      <c r="R320" s="23"/>
      <c r="S320" s="23"/>
      <c r="T320" s="23"/>
      <c r="U320" s="23" t="s">
        <v>47</v>
      </c>
      <c r="V320" s="23"/>
      <c r="W320" s="23"/>
      <c r="X320" s="23" t="str">
        <f>TEXT(K319,"#,##0.#######")</f>
        <v>4.1</v>
      </c>
      <c r="Y320" s="23"/>
      <c r="Z320" s="23"/>
      <c r="AA320" s="23" t="s">
        <v>46</v>
      </c>
      <c r="AB320" s="23"/>
      <c r="AC320" s="23"/>
      <c r="AD320" s="23" t="str">
        <f>TEXT(TRUNC(N320/X320,1),"#,##0.#")</f>
        <v>10,309.</v>
      </c>
      <c r="AE320" s="23"/>
      <c r="AF320" s="23"/>
      <c r="AG320" s="23"/>
      <c r="AH320" s="23"/>
      <c r="AI320" s="23"/>
      <c r="AJ320" s="23" t="s">
        <v>66</v>
      </c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  <c r="BX320" s="23"/>
      <c r="BY320" s="23"/>
      <c r="BZ320" s="23"/>
      <c r="CA320" s="23"/>
      <c r="CB320" s="23"/>
      <c r="CC320" s="23"/>
      <c r="CD320" s="23"/>
      <c r="CE320" s="23"/>
      <c r="CF320" s="23"/>
      <c r="CG320" s="23"/>
      <c r="CH320" s="27"/>
      <c r="CI320" s="27" t="str">
        <f>AD320</f>
        <v>10,309.</v>
      </c>
      <c r="CJ320" s="28"/>
      <c r="CK320" s="28"/>
      <c r="CL320" s="39"/>
    </row>
    <row r="321" spans="2:90" ht="18" customHeight="1" x14ac:dyDescent="0.25">
      <c r="B321" s="26"/>
      <c r="C321" s="23"/>
      <c r="D321" s="23"/>
      <c r="E321" s="23"/>
      <c r="F321" s="23"/>
      <c r="G321" s="23"/>
      <c r="H321" s="23" t="s">
        <v>53</v>
      </c>
      <c r="I321" s="23"/>
      <c r="J321" s="23"/>
      <c r="K321" s="23"/>
      <c r="L321" s="23"/>
      <c r="M321" s="23" t="s">
        <v>43</v>
      </c>
      <c r="N321" s="23" t="str">
        <f>TEXT([1]기계경비총괄표!F12,"#,##0.#######")</f>
        <v>7,520.1</v>
      </c>
      <c r="O321" s="23"/>
      <c r="P321" s="23"/>
      <c r="Q321" s="23"/>
      <c r="R321" s="23"/>
      <c r="S321" s="23"/>
      <c r="T321" s="23"/>
      <c r="U321" s="23" t="s">
        <v>47</v>
      </c>
      <c r="V321" s="23"/>
      <c r="W321" s="23"/>
      <c r="X321" s="23" t="str">
        <f>TEXT(K319,"#,##0.#######")</f>
        <v>4.1</v>
      </c>
      <c r="Y321" s="23"/>
      <c r="Z321" s="23"/>
      <c r="AA321" s="23" t="s">
        <v>46</v>
      </c>
      <c r="AB321" s="23"/>
      <c r="AC321" s="23"/>
      <c r="AD321" s="23" t="str">
        <f>TEXT(TRUNC(N321/X321,1),"#,##0.#")</f>
        <v>1,834.1</v>
      </c>
      <c r="AE321" s="23"/>
      <c r="AF321" s="23"/>
      <c r="AG321" s="23"/>
      <c r="AH321" s="23"/>
      <c r="AI321" s="23"/>
      <c r="AJ321" s="23" t="s">
        <v>66</v>
      </c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  <c r="BX321" s="23"/>
      <c r="BY321" s="23"/>
      <c r="BZ321" s="23"/>
      <c r="CA321" s="23"/>
      <c r="CB321" s="23"/>
      <c r="CC321" s="23"/>
      <c r="CD321" s="23"/>
      <c r="CE321" s="23"/>
      <c r="CF321" s="23"/>
      <c r="CG321" s="23"/>
      <c r="CH321" s="27"/>
      <c r="CI321" s="27"/>
      <c r="CJ321" s="28" t="str">
        <f>AD321</f>
        <v>1,834.1</v>
      </c>
      <c r="CK321" s="28"/>
      <c r="CL321" s="39"/>
    </row>
    <row r="322" spans="2:90" ht="18" customHeight="1" x14ac:dyDescent="0.25">
      <c r="B322" s="26"/>
      <c r="C322" s="23"/>
      <c r="D322" s="23"/>
      <c r="E322" s="23"/>
      <c r="F322" s="23"/>
      <c r="G322" s="23"/>
      <c r="H322" s="23" t="s">
        <v>171</v>
      </c>
      <c r="I322" s="23"/>
      <c r="J322" s="23"/>
      <c r="K322" s="23"/>
      <c r="L322" s="23" t="s">
        <v>43</v>
      </c>
      <c r="M322" s="23"/>
      <c r="N322" s="23" t="str">
        <f>TEXT([1]기계경비총괄표!H12,"#,##0.#######")</f>
        <v>14,923.4</v>
      </c>
      <c r="O322" s="23"/>
      <c r="P322" s="23"/>
      <c r="Q322" s="23"/>
      <c r="R322" s="23"/>
      <c r="S322" s="23"/>
      <c r="T322" s="23"/>
      <c r="U322" s="23" t="s">
        <v>47</v>
      </c>
      <c r="V322" s="23"/>
      <c r="W322" s="23"/>
      <c r="X322" s="23" t="str">
        <f>TEXT(K319,"#,##0.#######")</f>
        <v>4.1</v>
      </c>
      <c r="Y322" s="23"/>
      <c r="Z322" s="23"/>
      <c r="AA322" s="23" t="s">
        <v>46</v>
      </c>
      <c r="AB322" s="23"/>
      <c r="AC322" s="23"/>
      <c r="AD322" s="23" t="str">
        <f>TEXT(TRUNC(N322/X322,1),"#,##0.#")</f>
        <v>3,639.8</v>
      </c>
      <c r="AE322" s="23"/>
      <c r="AF322" s="23"/>
      <c r="AG322" s="23"/>
      <c r="AH322" s="23"/>
      <c r="AI322" s="23"/>
      <c r="AJ322" s="23" t="s">
        <v>66</v>
      </c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  <c r="BX322" s="23"/>
      <c r="BY322" s="23"/>
      <c r="BZ322" s="23"/>
      <c r="CA322" s="23"/>
      <c r="CB322" s="23"/>
      <c r="CC322" s="23"/>
      <c r="CD322" s="23"/>
      <c r="CE322" s="23"/>
      <c r="CF322" s="23"/>
      <c r="CG322" s="23"/>
      <c r="CH322" s="27"/>
      <c r="CI322" s="27"/>
      <c r="CJ322" s="28"/>
      <c r="CK322" s="28" t="str">
        <f>AD322</f>
        <v>3,639.8</v>
      </c>
      <c r="CL322" s="39"/>
    </row>
    <row r="323" spans="2:90" ht="18" customHeight="1" x14ac:dyDescent="0.25">
      <c r="B323" s="26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  <c r="BX323" s="23"/>
      <c r="BY323" s="23"/>
      <c r="BZ323" s="23"/>
      <c r="CA323" s="23"/>
      <c r="CB323" s="23"/>
      <c r="CC323" s="23"/>
      <c r="CD323" s="23"/>
      <c r="CE323" s="23"/>
      <c r="CF323" s="23"/>
      <c r="CG323" s="23"/>
      <c r="CH323" s="27"/>
      <c r="CI323" s="27"/>
      <c r="CJ323" s="28"/>
      <c r="CK323" s="28"/>
      <c r="CL323" s="39"/>
    </row>
    <row r="324" spans="2:90" ht="18" customHeight="1" x14ac:dyDescent="0.25">
      <c r="B324" s="26"/>
      <c r="C324" s="23"/>
      <c r="D324" s="23" t="s">
        <v>49</v>
      </c>
      <c r="E324" s="23"/>
      <c r="F324" s="23"/>
      <c r="G324" s="23" t="s">
        <v>70</v>
      </c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  <c r="BX324" s="23"/>
      <c r="BY324" s="23"/>
      <c r="BZ324" s="23"/>
      <c r="CA324" s="23"/>
      <c r="CB324" s="23"/>
      <c r="CC324" s="23"/>
      <c r="CD324" s="23"/>
      <c r="CE324" s="23"/>
      <c r="CF324" s="23"/>
      <c r="CG324" s="23"/>
      <c r="CH324" s="27"/>
      <c r="CI324" s="27"/>
      <c r="CJ324" s="28"/>
      <c r="CK324" s="28"/>
      <c r="CL324" s="39"/>
    </row>
    <row r="325" spans="2:90" ht="18" customHeight="1" x14ac:dyDescent="0.25">
      <c r="B325" s="26"/>
      <c r="C325" s="23"/>
      <c r="D325" s="29"/>
      <c r="E325" s="23"/>
      <c r="F325" s="23"/>
      <c r="G325" s="23"/>
      <c r="H325" s="23" t="s">
        <v>71</v>
      </c>
      <c r="I325" s="23"/>
      <c r="J325" s="23"/>
      <c r="K325" s="23"/>
      <c r="L325" s="23"/>
      <c r="M325" s="23"/>
      <c r="N325" s="23"/>
      <c r="O325" s="23"/>
      <c r="P325" s="23" t="str">
        <f>TEXT([1]노임및중기단가!I8,"#,##0.#######")</f>
        <v>138,290.</v>
      </c>
      <c r="Q325" s="23"/>
      <c r="R325" s="23"/>
      <c r="S325" s="23"/>
      <c r="T325" s="23"/>
      <c r="U325" s="23"/>
      <c r="V325" s="23"/>
      <c r="W325" s="23" t="s">
        <v>48</v>
      </c>
      <c r="X325" s="23"/>
      <c r="Y325" s="23"/>
      <c r="Z325" s="23" t="str">
        <f>TEXT(1,"#,##0.#######")</f>
        <v>1.</v>
      </c>
      <c r="AA325" s="23"/>
      <c r="AB325" s="23" t="s">
        <v>44</v>
      </c>
      <c r="AC325" s="23"/>
      <c r="AD325" s="23"/>
      <c r="AE325" s="23" t="s">
        <v>47</v>
      </c>
      <c r="AF325" s="23"/>
      <c r="AG325" s="23" t="s">
        <v>41</v>
      </c>
      <c r="AH325" s="23" t="str">
        <f>TEXT(8,"#,##0.#######")</f>
        <v>8.</v>
      </c>
      <c r="AI325" s="23"/>
      <c r="AJ325" s="23" t="s">
        <v>50</v>
      </c>
      <c r="AK325" s="23"/>
      <c r="AL325" s="23"/>
      <c r="AM325" s="23" t="s">
        <v>48</v>
      </c>
      <c r="AN325" s="23"/>
      <c r="AO325" s="23"/>
      <c r="AP325" s="23" t="str">
        <f>TEXT(K319,"#,##0.#######")</f>
        <v>4.1</v>
      </c>
      <c r="AQ325" s="23"/>
      <c r="AR325" s="23"/>
      <c r="AS325" s="23" t="s">
        <v>42</v>
      </c>
      <c r="AT325" s="23"/>
      <c r="AU325" s="23"/>
      <c r="AV325" s="23"/>
      <c r="AW325" s="23" t="s">
        <v>46</v>
      </c>
      <c r="AX325" s="23"/>
      <c r="AY325" s="23"/>
      <c r="AZ325" s="23" t="str">
        <f>TEXT(TRUNC(P325*Z325/(AH325*AP325),1),"#,##0.#")</f>
        <v>4,216.1</v>
      </c>
      <c r="BA325" s="23"/>
      <c r="BB325" s="23"/>
      <c r="BC325" s="23"/>
      <c r="BD325" s="23"/>
      <c r="BE325" s="23"/>
      <c r="BF325" s="23" t="s">
        <v>66</v>
      </c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  <c r="BX325" s="23"/>
      <c r="BY325" s="23"/>
      <c r="BZ325" s="23"/>
      <c r="CA325" s="23"/>
      <c r="CB325" s="23"/>
      <c r="CC325" s="23"/>
      <c r="CD325" s="23"/>
      <c r="CE325" s="23"/>
      <c r="CF325" s="23"/>
      <c r="CG325" s="23"/>
      <c r="CH325" s="27"/>
      <c r="CI325" s="27" t="str">
        <f>AZ325</f>
        <v>4,216.1</v>
      </c>
      <c r="CJ325" s="28"/>
      <c r="CK325" s="28"/>
      <c r="CL325" s="39"/>
    </row>
    <row r="326" spans="2:90" ht="18" customHeight="1" x14ac:dyDescent="0.25">
      <c r="B326" s="26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34"/>
      <c r="BR326" s="34"/>
      <c r="BS326" s="34"/>
      <c r="BT326" s="34"/>
      <c r="BU326" s="34"/>
      <c r="BV326" s="34"/>
      <c r="BW326" s="34"/>
      <c r="BX326" s="34"/>
      <c r="BY326" s="34"/>
      <c r="BZ326" s="34"/>
      <c r="CA326" s="34"/>
      <c r="CB326" s="34"/>
      <c r="CC326" s="34"/>
      <c r="CD326" s="34"/>
      <c r="CE326" s="34"/>
      <c r="CF326" s="34"/>
      <c r="CG326" s="34"/>
      <c r="CH326" s="27"/>
      <c r="CI326" s="27"/>
      <c r="CJ326" s="28"/>
      <c r="CK326" s="28"/>
      <c r="CL326" s="57"/>
    </row>
    <row r="327" spans="2:90" ht="18" customHeight="1" x14ac:dyDescent="0.25">
      <c r="B327" s="26"/>
      <c r="C327" s="23"/>
      <c r="D327" s="23" t="s">
        <v>51</v>
      </c>
      <c r="E327" s="23"/>
      <c r="F327" s="23"/>
      <c r="G327" s="23" t="s">
        <v>76</v>
      </c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34"/>
      <c r="BL327" s="34"/>
      <c r="BM327" s="34"/>
      <c r="BN327" s="34"/>
      <c r="BO327" s="34"/>
      <c r="BP327" s="34"/>
      <c r="BQ327" s="34"/>
      <c r="BR327" s="34"/>
      <c r="BS327" s="34"/>
      <c r="BT327" s="34"/>
      <c r="BU327" s="34"/>
      <c r="BV327" s="34"/>
      <c r="BW327" s="34"/>
      <c r="BX327" s="34"/>
      <c r="BY327" s="34"/>
      <c r="BZ327" s="34"/>
      <c r="CA327" s="34"/>
      <c r="CB327" s="34"/>
      <c r="CC327" s="34"/>
      <c r="CD327" s="34"/>
      <c r="CE327" s="34"/>
      <c r="CF327" s="34"/>
      <c r="CG327" s="34"/>
      <c r="CH327" s="27"/>
      <c r="CI327" s="27"/>
      <c r="CJ327" s="28"/>
      <c r="CK327" s="28"/>
      <c r="CL327" s="57"/>
    </row>
    <row r="328" spans="2:90" ht="18" customHeight="1" x14ac:dyDescent="0.25">
      <c r="B328" s="26"/>
      <c r="C328" s="23"/>
      <c r="D328" s="23"/>
      <c r="E328" s="23"/>
      <c r="F328" s="23"/>
      <c r="G328" s="23"/>
      <c r="H328" s="23" t="str">
        <f>TEXT(0.01,"#,##0.#######")</f>
        <v>0.01</v>
      </c>
      <c r="I328" s="23"/>
      <c r="J328" s="23"/>
      <c r="K328" s="23"/>
      <c r="L328" s="23" t="s">
        <v>228</v>
      </c>
      <c r="M328" s="23"/>
      <c r="N328" s="23"/>
      <c r="O328" s="29"/>
      <c r="P328" s="29"/>
      <c r="Q328" s="23" t="s">
        <v>102</v>
      </c>
      <c r="R328" s="23"/>
      <c r="S328" s="23"/>
      <c r="T328" s="23" t="str">
        <f>TEXT([1]자재단가!M85,"#,##0.#######")</f>
        <v>78,100.</v>
      </c>
      <c r="U328" s="23"/>
      <c r="V328" s="23"/>
      <c r="W328" s="23"/>
      <c r="X328" s="23"/>
      <c r="Y328" s="23"/>
      <c r="Z328" s="23"/>
      <c r="AA328" s="23" t="s">
        <v>229</v>
      </c>
      <c r="AB328" s="29"/>
      <c r="AC328" s="29"/>
      <c r="AD328" s="29"/>
      <c r="AE328" s="29"/>
      <c r="AF328" s="23" t="s">
        <v>122</v>
      </c>
      <c r="AG328" s="23"/>
      <c r="AH328" s="23"/>
      <c r="AI328" s="23" t="str">
        <f>TEXT(K319,"#,##0.#######")</f>
        <v>4.1</v>
      </c>
      <c r="AJ328" s="23"/>
      <c r="AK328" s="23"/>
      <c r="AL328" s="23"/>
      <c r="AM328" s="23" t="s">
        <v>183</v>
      </c>
      <c r="AN328" s="23"/>
      <c r="AO328" s="23"/>
      <c r="AP328" s="23"/>
      <c r="AQ328" s="23"/>
      <c r="AR328" s="23"/>
      <c r="AS328" s="23" t="s">
        <v>103</v>
      </c>
      <c r="AT328" s="23"/>
      <c r="AU328" s="23"/>
      <c r="AV328" s="23" t="str">
        <f>TEXT(TRUNC(H328*T328/AI328,1),"#,##0.#")</f>
        <v>190.4</v>
      </c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34"/>
      <c r="BL328" s="34"/>
      <c r="BM328" s="34"/>
      <c r="BN328" s="34"/>
      <c r="BO328" s="34"/>
      <c r="BP328" s="34"/>
      <c r="BQ328" s="34"/>
      <c r="BR328" s="34"/>
      <c r="BS328" s="34"/>
      <c r="BT328" s="34"/>
      <c r="BU328" s="34"/>
      <c r="BV328" s="34"/>
      <c r="BW328" s="34"/>
      <c r="BX328" s="34"/>
      <c r="BY328" s="34"/>
      <c r="BZ328" s="34"/>
      <c r="CA328" s="34"/>
      <c r="CB328" s="34"/>
      <c r="CC328" s="34"/>
      <c r="CD328" s="34"/>
      <c r="CE328" s="34"/>
      <c r="CF328" s="34"/>
      <c r="CG328" s="34"/>
      <c r="CH328" s="27"/>
      <c r="CI328" s="27"/>
      <c r="CJ328" s="28" t="str">
        <f>AV328</f>
        <v>190.4</v>
      </c>
      <c r="CK328" s="28"/>
      <c r="CL328" s="57"/>
    </row>
    <row r="329" spans="2:90" ht="18" customHeight="1" x14ac:dyDescent="0.25">
      <c r="B329" s="26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34"/>
      <c r="BL329" s="34"/>
      <c r="BM329" s="34"/>
      <c r="BN329" s="34"/>
      <c r="BO329" s="34"/>
      <c r="BP329" s="34"/>
      <c r="BQ329" s="34"/>
      <c r="BR329" s="34"/>
      <c r="BS329" s="34"/>
      <c r="BT329" s="34"/>
      <c r="BU329" s="34"/>
      <c r="BV329" s="34"/>
      <c r="BW329" s="34"/>
      <c r="BX329" s="34"/>
      <c r="BY329" s="34"/>
      <c r="BZ329" s="34"/>
      <c r="CA329" s="34"/>
      <c r="CB329" s="34"/>
      <c r="CC329" s="34"/>
      <c r="CD329" s="34"/>
      <c r="CE329" s="34"/>
      <c r="CF329" s="34"/>
      <c r="CG329" s="34"/>
      <c r="CH329" s="27"/>
      <c r="CI329" s="27"/>
      <c r="CJ329" s="28"/>
      <c r="CK329" s="28"/>
      <c r="CL329" s="57"/>
    </row>
    <row r="330" spans="2:90" ht="18" customHeight="1" x14ac:dyDescent="0.25">
      <c r="B330" s="22"/>
      <c r="C330" s="23"/>
      <c r="D330" s="23"/>
      <c r="E330" s="23"/>
      <c r="F330" s="23"/>
      <c r="G330" s="23" t="s">
        <v>120</v>
      </c>
      <c r="H330" s="23"/>
      <c r="I330" s="23"/>
      <c r="J330" s="23"/>
      <c r="K330" s="23"/>
      <c r="L330" s="23"/>
      <c r="M330" s="23"/>
      <c r="N330" s="23" t="s">
        <v>121</v>
      </c>
      <c r="O330" s="23"/>
      <c r="P330" s="23" t="str">
        <f>AD320</f>
        <v>10,309.</v>
      </c>
      <c r="Q330" s="23"/>
      <c r="R330" s="23"/>
      <c r="S330" s="23"/>
      <c r="T330" s="23"/>
      <c r="U330" s="23"/>
      <c r="V330" s="23"/>
      <c r="W330" s="23" t="s">
        <v>97</v>
      </c>
      <c r="X330" s="23"/>
      <c r="Y330" s="23" t="str">
        <f>AZ325</f>
        <v>4,216.1</v>
      </c>
      <c r="Z330" s="23"/>
      <c r="AA330" s="23"/>
      <c r="AB330" s="23"/>
      <c r="AC330" s="23"/>
      <c r="AD330" s="23"/>
      <c r="AE330" s="23"/>
      <c r="AF330" s="23"/>
      <c r="AG330" s="23">
        <f>AE326</f>
        <v>0</v>
      </c>
      <c r="AH330" s="23"/>
      <c r="AI330" s="23"/>
      <c r="AJ330" s="23"/>
      <c r="AK330" s="23"/>
      <c r="AL330" s="23"/>
      <c r="AM330" s="23" t="s">
        <v>103</v>
      </c>
      <c r="AN330" s="23"/>
      <c r="AO330" s="23" t="str">
        <f>TEXT(TRUNC(P330+Y330,1),"#,##0.#")</f>
        <v>14,525.1</v>
      </c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  <c r="BX330" s="23"/>
      <c r="BY330" s="23"/>
      <c r="BZ330" s="23"/>
      <c r="CA330" s="23"/>
      <c r="CB330" s="23"/>
      <c r="CC330" s="23"/>
      <c r="CD330" s="23"/>
      <c r="CE330" s="23"/>
      <c r="CF330" s="23"/>
      <c r="CG330" s="23"/>
      <c r="CH330" s="24"/>
      <c r="CI330" s="24"/>
      <c r="CJ330" s="25"/>
      <c r="CK330" s="52"/>
      <c r="CL330" s="56"/>
    </row>
    <row r="331" spans="2:90" ht="18" customHeight="1" x14ac:dyDescent="0.25">
      <c r="B331" s="22"/>
      <c r="C331" s="23"/>
      <c r="D331" s="23"/>
      <c r="E331" s="23"/>
      <c r="F331" s="23"/>
      <c r="G331" s="23" t="s">
        <v>123</v>
      </c>
      <c r="H331" s="23"/>
      <c r="I331" s="23"/>
      <c r="J331" s="23"/>
      <c r="K331" s="23"/>
      <c r="L331" s="23"/>
      <c r="M331" s="23"/>
      <c r="N331" s="23" t="s">
        <v>121</v>
      </c>
      <c r="O331" s="23"/>
      <c r="P331" s="23" t="str">
        <f>AD321</f>
        <v>1,834.1</v>
      </c>
      <c r="Q331" s="23"/>
      <c r="R331" s="23"/>
      <c r="S331" s="23"/>
      <c r="T331" s="23"/>
      <c r="U331" s="23"/>
      <c r="V331" s="23"/>
      <c r="W331" s="23" t="s">
        <v>97</v>
      </c>
      <c r="X331" s="23"/>
      <c r="Y331" s="23" t="str">
        <f>AV328</f>
        <v>190.4</v>
      </c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 t="s">
        <v>103</v>
      </c>
      <c r="AN331" s="23"/>
      <c r="AO331" s="23" t="str">
        <f>TEXT(TRUNC(P331+Y331,1),"#,##0.#")</f>
        <v>2,024.5</v>
      </c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  <c r="BX331" s="23"/>
      <c r="BY331" s="23"/>
      <c r="BZ331" s="23"/>
      <c r="CA331" s="23"/>
      <c r="CB331" s="23"/>
      <c r="CC331" s="23"/>
      <c r="CD331" s="23"/>
      <c r="CE331" s="23"/>
      <c r="CF331" s="23"/>
      <c r="CG331" s="23"/>
      <c r="CH331" s="24"/>
      <c r="CI331" s="24"/>
      <c r="CJ331" s="25"/>
      <c r="CK331" s="25"/>
      <c r="CL331" s="56"/>
    </row>
    <row r="332" spans="2:90" ht="18" customHeight="1" x14ac:dyDescent="0.25">
      <c r="B332" s="22"/>
      <c r="C332" s="23"/>
      <c r="D332" s="23"/>
      <c r="E332" s="23"/>
      <c r="F332" s="23"/>
      <c r="G332" s="23" t="s">
        <v>124</v>
      </c>
      <c r="H332" s="23"/>
      <c r="I332" s="23"/>
      <c r="J332" s="23"/>
      <c r="K332" s="23" t="s">
        <v>125</v>
      </c>
      <c r="L332" s="23"/>
      <c r="M332" s="23"/>
      <c r="N332" s="23" t="s">
        <v>121</v>
      </c>
      <c r="O332" s="23"/>
      <c r="P332" s="23" t="str">
        <f>AD322</f>
        <v>3,639.8</v>
      </c>
      <c r="Q332" s="23"/>
      <c r="R332" s="23"/>
      <c r="S332" s="23"/>
      <c r="T332" s="23"/>
      <c r="U332" s="23"/>
      <c r="V332" s="23"/>
      <c r="W332" s="23"/>
      <c r="X332" s="23"/>
      <c r="Y332" s="23">
        <f>AE328</f>
        <v>0</v>
      </c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 t="s">
        <v>103</v>
      </c>
      <c r="AN332" s="23"/>
      <c r="AO332" s="23" t="str">
        <f>TEXT(TRUNC(P332,1),"#,##0.#")</f>
        <v>3,639.8</v>
      </c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  <c r="BX332" s="23"/>
      <c r="BY332" s="23"/>
      <c r="BZ332" s="23"/>
      <c r="CA332" s="23"/>
      <c r="CB332" s="23"/>
      <c r="CC332" s="23"/>
      <c r="CD332" s="23"/>
      <c r="CE332" s="23"/>
      <c r="CF332" s="23"/>
      <c r="CG332" s="23"/>
      <c r="CH332" s="27"/>
      <c r="CI332" s="27"/>
      <c r="CJ332" s="28"/>
      <c r="CK332" s="28"/>
      <c r="CL332" s="39"/>
    </row>
    <row r="333" spans="2:90" ht="18" customHeight="1" x14ac:dyDescent="0.25">
      <c r="B333" s="22"/>
      <c r="C333" s="23"/>
      <c r="D333" s="23"/>
      <c r="E333" s="23"/>
      <c r="F333" s="23"/>
      <c r="G333" s="23" t="s">
        <v>126</v>
      </c>
      <c r="H333" s="23"/>
      <c r="I333" s="23"/>
      <c r="J333" s="23"/>
      <c r="K333" s="23" t="s">
        <v>127</v>
      </c>
      <c r="L333" s="23"/>
      <c r="M333" s="23"/>
      <c r="N333" s="23" t="s">
        <v>121</v>
      </c>
      <c r="O333" s="23"/>
      <c r="P333" s="23" t="str">
        <f>TEXT(AO330+AO331+AO332,"#,##0.#######")</f>
        <v>20,189.4</v>
      </c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  <c r="BX333" s="23"/>
      <c r="BY333" s="23"/>
      <c r="BZ333" s="23"/>
      <c r="CA333" s="23"/>
      <c r="CB333" s="23"/>
      <c r="CC333" s="23"/>
      <c r="CD333" s="23"/>
      <c r="CE333" s="23"/>
      <c r="CF333" s="23"/>
      <c r="CG333" s="23"/>
      <c r="CH333" s="27">
        <f>CI333+CJ333+CK333</f>
        <v>20189.399999999998</v>
      </c>
      <c r="CI333" s="27" t="str">
        <f>AO330</f>
        <v>14,525.1</v>
      </c>
      <c r="CJ333" s="28" t="str">
        <f>AO331</f>
        <v>2,024.5</v>
      </c>
      <c r="CK333" s="28" t="str">
        <f>AO332</f>
        <v>3,639.8</v>
      </c>
      <c r="CL333" s="39"/>
    </row>
    <row r="334" spans="2:90" ht="18" customHeight="1" x14ac:dyDescent="0.25">
      <c r="B334" s="22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  <c r="BX334" s="23"/>
      <c r="BY334" s="23"/>
      <c r="BZ334" s="23"/>
      <c r="CA334" s="23"/>
      <c r="CB334" s="23"/>
      <c r="CC334" s="23"/>
      <c r="CD334" s="23"/>
      <c r="CE334" s="23"/>
      <c r="CF334" s="23"/>
      <c r="CG334" s="23"/>
      <c r="CH334" s="24"/>
      <c r="CI334" s="24"/>
      <c r="CJ334" s="25"/>
      <c r="CK334" s="25"/>
      <c r="CL334" s="56"/>
    </row>
    <row r="335" spans="2:90" ht="18" customHeight="1" x14ac:dyDescent="0.25">
      <c r="B335" s="46" t="s">
        <v>239</v>
      </c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47"/>
      <c r="AD335" s="47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  <c r="AP335" s="47"/>
      <c r="AQ335" s="47"/>
      <c r="AR335" s="47"/>
      <c r="AS335" s="47"/>
      <c r="AT335" s="47"/>
      <c r="AU335" s="47"/>
      <c r="AV335" s="47"/>
      <c r="AW335" s="47"/>
      <c r="AX335" s="47"/>
      <c r="AY335" s="47"/>
      <c r="AZ335" s="47"/>
      <c r="BA335" s="47"/>
      <c r="BB335" s="47"/>
      <c r="BC335" s="47"/>
      <c r="BD335" s="47"/>
      <c r="BE335" s="47"/>
      <c r="BF335" s="47"/>
      <c r="BG335" s="47"/>
      <c r="BH335" s="47"/>
      <c r="BI335" s="47"/>
      <c r="BJ335" s="47"/>
      <c r="BK335" s="47"/>
      <c r="BL335" s="47"/>
      <c r="BM335" s="47"/>
      <c r="BN335" s="47"/>
      <c r="BO335" s="47"/>
      <c r="BP335" s="47"/>
      <c r="BQ335" s="47"/>
      <c r="BR335" s="47"/>
      <c r="BS335" s="47"/>
      <c r="BT335" s="47"/>
      <c r="BU335" s="47"/>
      <c r="BV335" s="47"/>
      <c r="BW335" s="47"/>
      <c r="BX335" s="47"/>
      <c r="BY335" s="47"/>
      <c r="BZ335" s="47"/>
      <c r="CA335" s="47"/>
      <c r="CB335" s="47"/>
      <c r="CC335" s="47"/>
      <c r="CD335" s="47"/>
      <c r="CE335" s="47"/>
      <c r="CF335" s="47"/>
      <c r="CG335" s="47"/>
      <c r="CH335" s="48">
        <f>TRUNC(CI335+CJ335+CK335,0)</f>
        <v>6921</v>
      </c>
      <c r="CI335" s="48">
        <f>TRUNC(CI338+CI343,0)</f>
        <v>3721</v>
      </c>
      <c r="CJ335" s="49">
        <f>TRUNC(CJ339+CJ346,0)</f>
        <v>1201</v>
      </c>
      <c r="CK335" s="49">
        <f>TRUNC(CK340,0)</f>
        <v>1999</v>
      </c>
      <c r="CL335" s="98">
        <v>8215</v>
      </c>
    </row>
    <row r="336" spans="2:90" ht="18" customHeight="1" x14ac:dyDescent="0.25">
      <c r="B336" s="26"/>
      <c r="C336" s="23"/>
      <c r="D336" s="23" t="s">
        <v>94</v>
      </c>
      <c r="E336" s="23"/>
      <c r="F336" s="23"/>
      <c r="G336" s="23" t="s">
        <v>240</v>
      </c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  <c r="BX336" s="23"/>
      <c r="BY336" s="23"/>
      <c r="BZ336" s="23"/>
      <c r="CA336" s="23"/>
      <c r="CB336" s="23"/>
      <c r="CC336" s="23"/>
      <c r="CD336" s="23"/>
      <c r="CE336" s="23"/>
      <c r="CF336" s="23"/>
      <c r="CG336" s="23"/>
      <c r="CH336" s="27"/>
      <c r="CI336" s="27"/>
      <c r="CJ336" s="28"/>
      <c r="CK336" s="28"/>
      <c r="CL336" s="39" t="s">
        <v>196</v>
      </c>
    </row>
    <row r="337" spans="2:90" ht="18" customHeight="1" x14ac:dyDescent="0.25">
      <c r="B337" s="26"/>
      <c r="C337" s="23"/>
      <c r="D337" s="23"/>
      <c r="E337" s="23"/>
      <c r="F337" s="23"/>
      <c r="G337" s="23" t="s">
        <v>197</v>
      </c>
      <c r="H337" s="23"/>
      <c r="I337" s="23"/>
      <c r="J337" s="23" t="str">
        <f>TEXT(16,"#,##0.#######")</f>
        <v>16.</v>
      </c>
      <c r="K337" s="23"/>
      <c r="L337" s="23"/>
      <c r="M337" s="23" t="s">
        <v>183</v>
      </c>
      <c r="N337" s="23"/>
      <c r="O337" s="23"/>
      <c r="P337" s="23"/>
      <c r="Q337" s="29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9"/>
      <c r="AE337" s="29"/>
      <c r="AF337" s="29"/>
      <c r="AG337" s="29"/>
      <c r="AH337" s="29"/>
      <c r="AI337" s="29"/>
      <c r="AJ337" s="29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  <c r="BX337" s="23"/>
      <c r="BY337" s="23"/>
      <c r="BZ337" s="23"/>
      <c r="CA337" s="23"/>
      <c r="CB337" s="23"/>
      <c r="CC337" s="23"/>
      <c r="CD337" s="23"/>
      <c r="CE337" s="23"/>
      <c r="CF337" s="23"/>
      <c r="CG337" s="23"/>
      <c r="CH337" s="27"/>
      <c r="CI337" s="27"/>
      <c r="CJ337" s="28"/>
      <c r="CK337" s="28"/>
      <c r="CL337" s="39"/>
    </row>
    <row r="338" spans="2:90" ht="18" customHeight="1" x14ac:dyDescent="0.25">
      <c r="B338" s="26"/>
      <c r="C338" s="23"/>
      <c r="D338" s="23"/>
      <c r="E338" s="23"/>
      <c r="F338" s="23"/>
      <c r="G338" s="23"/>
      <c r="H338" s="23" t="s">
        <v>120</v>
      </c>
      <c r="I338" s="23"/>
      <c r="J338" s="23"/>
      <c r="K338" s="23"/>
      <c r="L338" s="23"/>
      <c r="M338" s="23" t="s">
        <v>121</v>
      </c>
      <c r="N338" s="23" t="str">
        <f>TEXT([1]기계경비총괄표!G14,"#,##0.#######")</f>
        <v>42,267.</v>
      </c>
      <c r="O338" s="23"/>
      <c r="P338" s="23"/>
      <c r="Q338" s="23"/>
      <c r="R338" s="23"/>
      <c r="S338" s="23"/>
      <c r="T338" s="23"/>
      <c r="U338" s="23" t="s">
        <v>122</v>
      </c>
      <c r="V338" s="23"/>
      <c r="W338" s="23"/>
      <c r="X338" s="23" t="str">
        <f>TEXT(J337,"#,##0.#######")</f>
        <v>16.</v>
      </c>
      <c r="Y338" s="23"/>
      <c r="Z338" s="23"/>
      <c r="AA338" s="23" t="s">
        <v>103</v>
      </c>
      <c r="AB338" s="23"/>
      <c r="AC338" s="23"/>
      <c r="AD338" s="23" t="str">
        <f>TEXT(TRUNC(N338/X338,1),"#,##0.#")</f>
        <v>2,641.6</v>
      </c>
      <c r="AE338" s="23"/>
      <c r="AF338" s="23"/>
      <c r="AG338" s="23"/>
      <c r="AH338" s="23"/>
      <c r="AI338" s="23"/>
      <c r="AJ338" s="23" t="s">
        <v>236</v>
      </c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  <c r="BX338" s="23"/>
      <c r="BY338" s="23"/>
      <c r="BZ338" s="23"/>
      <c r="CA338" s="23"/>
      <c r="CB338" s="23"/>
      <c r="CC338" s="23"/>
      <c r="CD338" s="23"/>
      <c r="CE338" s="23"/>
      <c r="CF338" s="23"/>
      <c r="CG338" s="23"/>
      <c r="CH338" s="27"/>
      <c r="CI338" s="27" t="str">
        <f>AD338</f>
        <v>2,641.6</v>
      </c>
      <c r="CJ338" s="28"/>
      <c r="CK338" s="28"/>
      <c r="CL338" s="39"/>
    </row>
    <row r="339" spans="2:90" ht="18" customHeight="1" x14ac:dyDescent="0.25">
      <c r="B339" s="26"/>
      <c r="C339" s="23"/>
      <c r="D339" s="23"/>
      <c r="E339" s="23"/>
      <c r="F339" s="23"/>
      <c r="G339" s="23"/>
      <c r="H339" s="23" t="s">
        <v>123</v>
      </c>
      <c r="I339" s="23"/>
      <c r="J339" s="23"/>
      <c r="K339" s="23"/>
      <c r="L339" s="23"/>
      <c r="M339" s="23" t="s">
        <v>121</v>
      </c>
      <c r="N339" s="23" t="str">
        <f>TEXT([1]기계경비총괄표!F14,"#,##0.#######")</f>
        <v>17,879.3</v>
      </c>
      <c r="O339" s="23"/>
      <c r="P339" s="23"/>
      <c r="Q339" s="23"/>
      <c r="R339" s="23"/>
      <c r="S339" s="23"/>
      <c r="T339" s="23"/>
      <c r="U339" s="23" t="s">
        <v>122</v>
      </c>
      <c r="V339" s="23"/>
      <c r="W339" s="23"/>
      <c r="X339" s="23" t="str">
        <f>TEXT(J337,"#,##0.#######")</f>
        <v>16.</v>
      </c>
      <c r="Y339" s="23"/>
      <c r="Z339" s="23"/>
      <c r="AA339" s="23" t="s">
        <v>103</v>
      </c>
      <c r="AB339" s="23"/>
      <c r="AC339" s="23"/>
      <c r="AD339" s="23" t="str">
        <f>TEXT(TRUNC(N339/X339,1),"#,##0.#")</f>
        <v>1,117.4</v>
      </c>
      <c r="AE339" s="23"/>
      <c r="AF339" s="23"/>
      <c r="AG339" s="23"/>
      <c r="AH339" s="23"/>
      <c r="AI339" s="23"/>
      <c r="AJ339" s="23" t="s">
        <v>236</v>
      </c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  <c r="BX339" s="23"/>
      <c r="BY339" s="23"/>
      <c r="BZ339" s="23"/>
      <c r="CA339" s="23"/>
      <c r="CB339" s="23"/>
      <c r="CC339" s="23"/>
      <c r="CD339" s="23"/>
      <c r="CE339" s="23"/>
      <c r="CF339" s="23"/>
      <c r="CG339" s="23"/>
      <c r="CH339" s="27"/>
      <c r="CI339" s="27"/>
      <c r="CJ339" s="28" t="str">
        <f>AD339</f>
        <v>1,117.4</v>
      </c>
      <c r="CK339" s="28"/>
      <c r="CL339" s="39"/>
    </row>
    <row r="340" spans="2:90" ht="18" customHeight="1" x14ac:dyDescent="0.25">
      <c r="B340" s="26"/>
      <c r="C340" s="23"/>
      <c r="D340" s="23"/>
      <c r="E340" s="23"/>
      <c r="F340" s="23"/>
      <c r="G340" s="23"/>
      <c r="H340" s="23" t="s">
        <v>172</v>
      </c>
      <c r="I340" s="23"/>
      <c r="J340" s="23"/>
      <c r="K340" s="23"/>
      <c r="L340" s="23" t="s">
        <v>121</v>
      </c>
      <c r="M340" s="23"/>
      <c r="N340" s="23" t="str">
        <f>TEXT([1]기계경비총괄표!H14,"#,##0.#######")</f>
        <v>31,987.2</v>
      </c>
      <c r="O340" s="23"/>
      <c r="P340" s="23"/>
      <c r="Q340" s="23"/>
      <c r="R340" s="23"/>
      <c r="S340" s="23"/>
      <c r="T340" s="23"/>
      <c r="U340" s="23" t="s">
        <v>122</v>
      </c>
      <c r="V340" s="23"/>
      <c r="W340" s="23"/>
      <c r="X340" s="23" t="str">
        <f>TEXT(J337,"#,##0.#######")</f>
        <v>16.</v>
      </c>
      <c r="Y340" s="23"/>
      <c r="Z340" s="23"/>
      <c r="AA340" s="23" t="s">
        <v>103</v>
      </c>
      <c r="AB340" s="23"/>
      <c r="AC340" s="23"/>
      <c r="AD340" s="23" t="str">
        <f>TEXT(TRUNC(N340/X340,1),"#,##0.#")</f>
        <v>1,999.2</v>
      </c>
      <c r="AE340" s="23"/>
      <c r="AF340" s="23"/>
      <c r="AG340" s="23"/>
      <c r="AH340" s="23"/>
      <c r="AI340" s="23"/>
      <c r="AJ340" s="23" t="s">
        <v>236</v>
      </c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  <c r="BX340" s="23"/>
      <c r="BY340" s="23"/>
      <c r="BZ340" s="23"/>
      <c r="CA340" s="23"/>
      <c r="CB340" s="23"/>
      <c r="CC340" s="23"/>
      <c r="CD340" s="23"/>
      <c r="CE340" s="23"/>
      <c r="CF340" s="23"/>
      <c r="CG340" s="23"/>
      <c r="CH340" s="27"/>
      <c r="CI340" s="27"/>
      <c r="CJ340" s="28"/>
      <c r="CK340" s="28" t="str">
        <f>AD340</f>
        <v>1,999.2</v>
      </c>
      <c r="CL340" s="39"/>
    </row>
    <row r="341" spans="2:90" ht="18" customHeight="1" x14ac:dyDescent="0.25">
      <c r="B341" s="26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  <c r="BX341" s="23"/>
      <c r="BY341" s="23"/>
      <c r="BZ341" s="23"/>
      <c r="CA341" s="23"/>
      <c r="CB341" s="23"/>
      <c r="CC341" s="23"/>
      <c r="CD341" s="23"/>
      <c r="CE341" s="23"/>
      <c r="CF341" s="23"/>
      <c r="CG341" s="23"/>
      <c r="CH341" s="27"/>
      <c r="CI341" s="27"/>
      <c r="CJ341" s="28"/>
      <c r="CK341" s="28"/>
      <c r="CL341" s="39"/>
    </row>
    <row r="342" spans="2:90" ht="18" customHeight="1" x14ac:dyDescent="0.25">
      <c r="B342" s="26"/>
      <c r="C342" s="23"/>
      <c r="D342" s="23" t="s">
        <v>168</v>
      </c>
      <c r="E342" s="23"/>
      <c r="F342" s="23"/>
      <c r="G342" s="23" t="s">
        <v>241</v>
      </c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  <c r="BX342" s="23"/>
      <c r="BY342" s="23"/>
      <c r="BZ342" s="23"/>
      <c r="CA342" s="23"/>
      <c r="CB342" s="23"/>
      <c r="CC342" s="23"/>
      <c r="CD342" s="23"/>
      <c r="CE342" s="23"/>
      <c r="CF342" s="23"/>
      <c r="CG342" s="23"/>
      <c r="CH342" s="27"/>
      <c r="CI342" s="27"/>
      <c r="CJ342" s="28"/>
      <c r="CK342" s="28"/>
      <c r="CL342" s="39"/>
    </row>
    <row r="343" spans="2:90" ht="18" customHeight="1" x14ac:dyDescent="0.25">
      <c r="B343" s="26"/>
      <c r="C343" s="23"/>
      <c r="D343" s="29"/>
      <c r="E343" s="23"/>
      <c r="F343" s="23"/>
      <c r="G343" s="23"/>
      <c r="H343" s="23" t="s">
        <v>242</v>
      </c>
      <c r="I343" s="23"/>
      <c r="J343" s="23"/>
      <c r="K343" s="23"/>
      <c r="L343" s="23"/>
      <c r="M343" s="23"/>
      <c r="N343" s="23"/>
      <c r="O343" s="23"/>
      <c r="P343" s="23" t="str">
        <f>TEXT([1]노임및중기단가!I8,"#,##0.#######")</f>
        <v>138,290.</v>
      </c>
      <c r="Q343" s="23"/>
      <c r="R343" s="23"/>
      <c r="S343" s="23"/>
      <c r="T343" s="23"/>
      <c r="U343" s="23"/>
      <c r="V343" s="23"/>
      <c r="W343" s="23" t="s">
        <v>102</v>
      </c>
      <c r="X343" s="23"/>
      <c r="Y343" s="23"/>
      <c r="Z343" s="23" t="str">
        <f>TEXT(1,"#,##0.#######")</f>
        <v>1.</v>
      </c>
      <c r="AA343" s="23"/>
      <c r="AB343" s="23" t="s">
        <v>243</v>
      </c>
      <c r="AC343" s="23"/>
      <c r="AD343" s="23"/>
      <c r="AE343" s="23" t="s">
        <v>122</v>
      </c>
      <c r="AF343" s="23"/>
      <c r="AG343" s="23" t="s">
        <v>96</v>
      </c>
      <c r="AH343" s="23" t="str">
        <f>TEXT(8,"#,##0.#######")</f>
        <v>8.</v>
      </c>
      <c r="AI343" s="23"/>
      <c r="AJ343" s="23" t="s">
        <v>119</v>
      </c>
      <c r="AK343" s="23"/>
      <c r="AL343" s="23"/>
      <c r="AM343" s="23" t="s">
        <v>102</v>
      </c>
      <c r="AN343" s="23"/>
      <c r="AO343" s="23"/>
      <c r="AP343" s="23" t="str">
        <f>TEXT(J337,"#,##0.#######")</f>
        <v>16.</v>
      </c>
      <c r="AQ343" s="23"/>
      <c r="AR343" s="23"/>
      <c r="AS343" s="23" t="s">
        <v>101</v>
      </c>
      <c r="AT343" s="23"/>
      <c r="AU343" s="23"/>
      <c r="AV343" s="23"/>
      <c r="AW343" s="23" t="s">
        <v>103</v>
      </c>
      <c r="AX343" s="23"/>
      <c r="AY343" s="23"/>
      <c r="AZ343" s="23" t="str">
        <f>TEXT(TRUNC(P343*Z343/(AH343*AP343),1),"#,##0.#")</f>
        <v>1,080.3</v>
      </c>
      <c r="BA343" s="23"/>
      <c r="BB343" s="23"/>
      <c r="BC343" s="23"/>
      <c r="BD343" s="23"/>
      <c r="BE343" s="23"/>
      <c r="BF343" s="23" t="s">
        <v>236</v>
      </c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  <c r="BX343" s="23"/>
      <c r="BY343" s="23"/>
      <c r="BZ343" s="23"/>
      <c r="CA343" s="23"/>
      <c r="CB343" s="23"/>
      <c r="CC343" s="23"/>
      <c r="CD343" s="23"/>
      <c r="CE343" s="23"/>
      <c r="CF343" s="23"/>
      <c r="CG343" s="23"/>
      <c r="CH343" s="27"/>
      <c r="CI343" s="27" t="str">
        <f>AZ343</f>
        <v>1,080.3</v>
      </c>
      <c r="CJ343" s="28"/>
      <c r="CK343" s="28"/>
      <c r="CL343" s="39"/>
    </row>
    <row r="344" spans="2:90" ht="18" customHeight="1" x14ac:dyDescent="0.25">
      <c r="B344" s="26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34"/>
      <c r="BR344" s="34"/>
      <c r="BS344" s="34"/>
      <c r="BT344" s="34"/>
      <c r="BU344" s="34"/>
      <c r="BV344" s="34"/>
      <c r="BW344" s="34"/>
      <c r="BX344" s="34"/>
      <c r="BY344" s="34"/>
      <c r="BZ344" s="34"/>
      <c r="CA344" s="34"/>
      <c r="CB344" s="34"/>
      <c r="CC344" s="34"/>
      <c r="CD344" s="34"/>
      <c r="CE344" s="34"/>
      <c r="CF344" s="34"/>
      <c r="CG344" s="34"/>
      <c r="CH344" s="27"/>
      <c r="CI344" s="27"/>
      <c r="CJ344" s="28"/>
      <c r="CK344" s="28"/>
      <c r="CL344" s="57"/>
    </row>
    <row r="345" spans="2:90" ht="18" customHeight="1" x14ac:dyDescent="0.25">
      <c r="B345" s="26"/>
      <c r="C345" s="23"/>
      <c r="D345" s="23" t="s">
        <v>237</v>
      </c>
      <c r="E345" s="23"/>
      <c r="F345" s="23"/>
      <c r="G345" s="23" t="s">
        <v>238</v>
      </c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34"/>
      <c r="BL345" s="34"/>
      <c r="BM345" s="34"/>
      <c r="BN345" s="34"/>
      <c r="BO345" s="34"/>
      <c r="BP345" s="34"/>
      <c r="BQ345" s="34"/>
      <c r="BR345" s="34"/>
      <c r="BS345" s="34"/>
      <c r="BT345" s="34"/>
      <c r="BU345" s="34"/>
      <c r="BV345" s="34"/>
      <c r="BW345" s="34"/>
      <c r="BX345" s="34"/>
      <c r="BY345" s="34"/>
      <c r="BZ345" s="34"/>
      <c r="CA345" s="34"/>
      <c r="CB345" s="34"/>
      <c r="CC345" s="34"/>
      <c r="CD345" s="34"/>
      <c r="CE345" s="34"/>
      <c r="CF345" s="34"/>
      <c r="CG345" s="34"/>
      <c r="CH345" s="27"/>
      <c r="CI345" s="27"/>
      <c r="CJ345" s="28"/>
      <c r="CK345" s="28"/>
      <c r="CL345" s="57"/>
    </row>
    <row r="346" spans="2:90" ht="18" customHeight="1" x14ac:dyDescent="0.25">
      <c r="B346" s="26"/>
      <c r="C346" s="23"/>
      <c r="D346" s="23"/>
      <c r="E346" s="23"/>
      <c r="F346" s="23"/>
      <c r="G346" s="23"/>
      <c r="H346" s="23" t="str">
        <f>TEXT(0.01,"#,##0.#######")</f>
        <v>0.01</v>
      </c>
      <c r="I346" s="23"/>
      <c r="J346" s="23"/>
      <c r="K346" s="23"/>
      <c r="L346" s="23" t="s">
        <v>228</v>
      </c>
      <c r="M346" s="23"/>
      <c r="N346" s="23"/>
      <c r="O346" s="29"/>
      <c r="P346" s="29"/>
      <c r="Q346" s="23" t="s">
        <v>102</v>
      </c>
      <c r="R346" s="23"/>
      <c r="S346" s="23"/>
      <c r="T346" s="23" t="str">
        <f>TEXT([1]자재단가!M84,"#,##0.#######")</f>
        <v>135,000.</v>
      </c>
      <c r="U346" s="23"/>
      <c r="V346" s="23"/>
      <c r="W346" s="23"/>
      <c r="X346" s="23"/>
      <c r="Y346" s="23"/>
      <c r="Z346" s="23"/>
      <c r="AA346" s="23" t="s">
        <v>229</v>
      </c>
      <c r="AB346" s="29"/>
      <c r="AC346" s="29"/>
      <c r="AD346" s="29"/>
      <c r="AE346" s="29"/>
      <c r="AF346" s="23" t="s">
        <v>122</v>
      </c>
      <c r="AG346" s="23"/>
      <c r="AH346" s="23"/>
      <c r="AI346" s="23" t="str">
        <f>TEXT(J337,"#,##0.#######")</f>
        <v>16.</v>
      </c>
      <c r="AJ346" s="23"/>
      <c r="AK346" s="23"/>
      <c r="AL346" s="23"/>
      <c r="AM346" s="23" t="s">
        <v>183</v>
      </c>
      <c r="AN346" s="23"/>
      <c r="AO346" s="23"/>
      <c r="AP346" s="23"/>
      <c r="AQ346" s="23"/>
      <c r="AR346" s="23"/>
      <c r="AS346" s="23" t="s">
        <v>103</v>
      </c>
      <c r="AT346" s="23"/>
      <c r="AU346" s="23"/>
      <c r="AV346" s="23" t="str">
        <f>TEXT(TRUNC(H346*T346/AI346,1),"#,##0.#")</f>
        <v>84.3</v>
      </c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34"/>
      <c r="BL346" s="34"/>
      <c r="BM346" s="34"/>
      <c r="BN346" s="34"/>
      <c r="BO346" s="34"/>
      <c r="BP346" s="34"/>
      <c r="BQ346" s="34"/>
      <c r="BR346" s="34"/>
      <c r="BS346" s="34"/>
      <c r="BT346" s="34"/>
      <c r="BU346" s="34"/>
      <c r="BV346" s="34"/>
      <c r="BW346" s="34"/>
      <c r="BX346" s="34"/>
      <c r="BY346" s="34"/>
      <c r="BZ346" s="34"/>
      <c r="CA346" s="34"/>
      <c r="CB346" s="34"/>
      <c r="CC346" s="34"/>
      <c r="CD346" s="34"/>
      <c r="CE346" s="34"/>
      <c r="CF346" s="34"/>
      <c r="CG346" s="34"/>
      <c r="CH346" s="27"/>
      <c r="CI346" s="27"/>
      <c r="CJ346" s="28" t="str">
        <f>AV346</f>
        <v>84.3</v>
      </c>
      <c r="CK346" s="28"/>
      <c r="CL346" s="57"/>
    </row>
    <row r="347" spans="2:90" ht="18" customHeight="1" x14ac:dyDescent="0.25">
      <c r="B347" s="26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34"/>
      <c r="BL347" s="34"/>
      <c r="BM347" s="34"/>
      <c r="BN347" s="34"/>
      <c r="BO347" s="34"/>
      <c r="BP347" s="34"/>
      <c r="BQ347" s="34"/>
      <c r="BR347" s="34"/>
      <c r="BS347" s="34"/>
      <c r="BT347" s="34"/>
      <c r="BU347" s="34"/>
      <c r="BV347" s="34"/>
      <c r="BW347" s="34"/>
      <c r="BX347" s="34"/>
      <c r="BY347" s="34"/>
      <c r="BZ347" s="34"/>
      <c r="CA347" s="34"/>
      <c r="CB347" s="34"/>
      <c r="CC347" s="34"/>
      <c r="CD347" s="34"/>
      <c r="CE347" s="34"/>
      <c r="CF347" s="34"/>
      <c r="CG347" s="34"/>
      <c r="CH347" s="27"/>
      <c r="CI347" s="27"/>
      <c r="CJ347" s="28"/>
      <c r="CK347" s="28"/>
      <c r="CL347" s="57"/>
    </row>
    <row r="348" spans="2:90" ht="18" customHeight="1" x14ac:dyDescent="0.25">
      <c r="B348" s="22"/>
      <c r="C348" s="23"/>
      <c r="D348" s="23"/>
      <c r="E348" s="23"/>
      <c r="F348" s="23"/>
      <c r="G348" s="23" t="s">
        <v>120</v>
      </c>
      <c r="H348" s="23"/>
      <c r="I348" s="23"/>
      <c r="J348" s="23"/>
      <c r="K348" s="23"/>
      <c r="L348" s="23"/>
      <c r="M348" s="23"/>
      <c r="N348" s="23" t="s">
        <v>121</v>
      </c>
      <c r="O348" s="23"/>
      <c r="P348" s="23" t="str">
        <f>AD338</f>
        <v>2,641.6</v>
      </c>
      <c r="Q348" s="23"/>
      <c r="R348" s="23"/>
      <c r="S348" s="23"/>
      <c r="T348" s="23"/>
      <c r="U348" s="23"/>
      <c r="V348" s="23"/>
      <c r="W348" s="23" t="s">
        <v>97</v>
      </c>
      <c r="X348" s="23"/>
      <c r="Y348" s="23" t="str">
        <f>AZ343</f>
        <v>1,080.3</v>
      </c>
      <c r="Z348" s="23"/>
      <c r="AA348" s="23"/>
      <c r="AB348" s="23"/>
      <c r="AC348" s="23"/>
      <c r="AD348" s="23"/>
      <c r="AE348" s="23"/>
      <c r="AF348" s="23"/>
      <c r="AG348" s="23">
        <f>AE344</f>
        <v>0</v>
      </c>
      <c r="AH348" s="23"/>
      <c r="AI348" s="23"/>
      <c r="AJ348" s="23"/>
      <c r="AK348" s="23"/>
      <c r="AL348" s="23"/>
      <c r="AM348" s="23" t="s">
        <v>103</v>
      </c>
      <c r="AN348" s="23"/>
      <c r="AO348" s="23" t="str">
        <f>TEXT(TRUNC(P348+Y348,1),"#,##0.#")</f>
        <v>3,721.9</v>
      </c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  <c r="BX348" s="23"/>
      <c r="BY348" s="23"/>
      <c r="BZ348" s="23"/>
      <c r="CA348" s="23"/>
      <c r="CB348" s="23"/>
      <c r="CC348" s="23"/>
      <c r="CD348" s="23"/>
      <c r="CE348" s="23"/>
      <c r="CF348" s="23"/>
      <c r="CG348" s="23"/>
      <c r="CH348" s="24"/>
      <c r="CI348" s="24"/>
      <c r="CJ348" s="25"/>
      <c r="CK348" s="52"/>
      <c r="CL348" s="56"/>
    </row>
    <row r="349" spans="2:90" ht="18" customHeight="1" x14ac:dyDescent="0.25">
      <c r="B349" s="22"/>
      <c r="C349" s="23"/>
      <c r="D349" s="23"/>
      <c r="E349" s="23"/>
      <c r="F349" s="23"/>
      <c r="G349" s="23" t="s">
        <v>123</v>
      </c>
      <c r="H349" s="23"/>
      <c r="I349" s="23"/>
      <c r="J349" s="23"/>
      <c r="K349" s="23"/>
      <c r="L349" s="23"/>
      <c r="M349" s="23"/>
      <c r="N349" s="23" t="s">
        <v>121</v>
      </c>
      <c r="O349" s="23"/>
      <c r="P349" s="23" t="str">
        <f>AD339</f>
        <v>1,117.4</v>
      </c>
      <c r="Q349" s="23"/>
      <c r="R349" s="23"/>
      <c r="S349" s="23"/>
      <c r="T349" s="23"/>
      <c r="U349" s="23"/>
      <c r="V349" s="23"/>
      <c r="W349" s="23" t="s">
        <v>97</v>
      </c>
      <c r="X349" s="23"/>
      <c r="Y349" s="23" t="str">
        <f>AV346</f>
        <v>84.3</v>
      </c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 t="s">
        <v>103</v>
      </c>
      <c r="AN349" s="23"/>
      <c r="AO349" s="23" t="str">
        <f>TEXT(TRUNC(P349+Y349,1),"#,##0.#")</f>
        <v>1,201.7</v>
      </c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  <c r="BX349" s="23"/>
      <c r="BY349" s="23"/>
      <c r="BZ349" s="23"/>
      <c r="CA349" s="23"/>
      <c r="CB349" s="23"/>
      <c r="CC349" s="23"/>
      <c r="CD349" s="23"/>
      <c r="CE349" s="23"/>
      <c r="CF349" s="23"/>
      <c r="CG349" s="23"/>
      <c r="CH349" s="24"/>
      <c r="CI349" s="24"/>
      <c r="CJ349" s="25"/>
      <c r="CK349" s="25"/>
      <c r="CL349" s="56"/>
    </row>
    <row r="350" spans="2:90" ht="18" customHeight="1" x14ac:dyDescent="0.25">
      <c r="B350" s="22"/>
      <c r="C350" s="23"/>
      <c r="D350" s="23"/>
      <c r="E350" s="23"/>
      <c r="F350" s="23"/>
      <c r="G350" s="23" t="s">
        <v>124</v>
      </c>
      <c r="H350" s="23"/>
      <c r="I350" s="23"/>
      <c r="J350" s="23"/>
      <c r="K350" s="23" t="s">
        <v>125</v>
      </c>
      <c r="L350" s="23"/>
      <c r="M350" s="23"/>
      <c r="N350" s="23" t="s">
        <v>121</v>
      </c>
      <c r="O350" s="23"/>
      <c r="P350" s="23" t="str">
        <f>AD340</f>
        <v>1,999.2</v>
      </c>
      <c r="Q350" s="23"/>
      <c r="R350" s="23"/>
      <c r="S350" s="23"/>
      <c r="T350" s="23"/>
      <c r="U350" s="23"/>
      <c r="V350" s="23"/>
      <c r="W350" s="23"/>
      <c r="X350" s="23"/>
      <c r="Y350" s="23">
        <f>AE346</f>
        <v>0</v>
      </c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 t="s">
        <v>103</v>
      </c>
      <c r="AN350" s="23"/>
      <c r="AO350" s="23" t="str">
        <f>TEXT(TRUNC(P350,1),"#,##0.#")</f>
        <v>1,999.2</v>
      </c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  <c r="BX350" s="23"/>
      <c r="BY350" s="23"/>
      <c r="BZ350" s="23"/>
      <c r="CA350" s="23"/>
      <c r="CB350" s="23"/>
      <c r="CC350" s="23"/>
      <c r="CD350" s="23"/>
      <c r="CE350" s="23"/>
      <c r="CF350" s="23"/>
      <c r="CG350" s="23"/>
      <c r="CH350" s="27"/>
      <c r="CI350" s="27"/>
      <c r="CJ350" s="28"/>
      <c r="CK350" s="28"/>
      <c r="CL350" s="39"/>
    </row>
    <row r="351" spans="2:90" ht="18" customHeight="1" x14ac:dyDescent="0.25">
      <c r="B351" s="22"/>
      <c r="C351" s="23"/>
      <c r="D351" s="23"/>
      <c r="E351" s="23"/>
      <c r="F351" s="23"/>
      <c r="G351" s="23" t="s">
        <v>126</v>
      </c>
      <c r="H351" s="23"/>
      <c r="I351" s="23"/>
      <c r="J351" s="23"/>
      <c r="K351" s="23" t="s">
        <v>127</v>
      </c>
      <c r="L351" s="23"/>
      <c r="M351" s="23"/>
      <c r="N351" s="23" t="s">
        <v>121</v>
      </c>
      <c r="O351" s="23"/>
      <c r="P351" s="23" t="str">
        <f>TEXT(AO348+AO349+AO350,"#,##0.#######")</f>
        <v>6,922.8</v>
      </c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  <c r="BX351" s="23"/>
      <c r="BY351" s="23"/>
      <c r="BZ351" s="23"/>
      <c r="CA351" s="23"/>
      <c r="CB351" s="23"/>
      <c r="CC351" s="23"/>
      <c r="CD351" s="23"/>
      <c r="CE351" s="23"/>
      <c r="CF351" s="23"/>
      <c r="CG351" s="23"/>
      <c r="CH351" s="27">
        <f>CI351+CJ351+CK351</f>
        <v>6922.8</v>
      </c>
      <c r="CI351" s="27" t="str">
        <f>AO348</f>
        <v>3,721.9</v>
      </c>
      <c r="CJ351" s="28" t="str">
        <f>AO349</f>
        <v>1,201.7</v>
      </c>
      <c r="CK351" s="28" t="str">
        <f>AO350</f>
        <v>1,999.2</v>
      </c>
      <c r="CL351" s="39"/>
    </row>
    <row r="352" spans="2:90" ht="18" customHeight="1" x14ac:dyDescent="0.25">
      <c r="B352" s="95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  <c r="AJ352" s="78"/>
      <c r="AK352" s="78"/>
      <c r="AL352" s="78"/>
      <c r="AM352" s="78"/>
      <c r="AN352" s="78"/>
      <c r="AO352" s="78"/>
      <c r="AP352" s="78"/>
      <c r="AQ352" s="78"/>
      <c r="AR352" s="78"/>
      <c r="AS352" s="78"/>
      <c r="AT352" s="78"/>
      <c r="AU352" s="78"/>
      <c r="AV352" s="78"/>
      <c r="AW352" s="78"/>
      <c r="AX352" s="78"/>
      <c r="AY352" s="78"/>
      <c r="AZ352" s="78"/>
      <c r="BA352" s="78"/>
      <c r="BB352" s="78"/>
      <c r="BC352" s="78"/>
      <c r="BD352" s="78"/>
      <c r="BE352" s="78"/>
      <c r="BF352" s="78"/>
      <c r="BG352" s="78"/>
      <c r="BH352" s="78"/>
      <c r="BI352" s="78"/>
      <c r="BJ352" s="78"/>
      <c r="BK352" s="78"/>
      <c r="BL352" s="78"/>
      <c r="BM352" s="78"/>
      <c r="BN352" s="78"/>
      <c r="BO352" s="78"/>
      <c r="BP352" s="78"/>
      <c r="BQ352" s="78"/>
      <c r="BR352" s="78"/>
      <c r="BS352" s="78"/>
      <c r="BT352" s="78"/>
      <c r="BU352" s="78"/>
      <c r="BV352" s="78"/>
      <c r="BW352" s="78"/>
      <c r="BX352" s="78"/>
      <c r="BY352" s="78"/>
      <c r="BZ352" s="78"/>
      <c r="CA352" s="78"/>
      <c r="CB352" s="78"/>
      <c r="CC352" s="78"/>
      <c r="CD352" s="78"/>
      <c r="CE352" s="78"/>
      <c r="CF352" s="78"/>
      <c r="CG352" s="78"/>
      <c r="CH352" s="91"/>
      <c r="CI352" s="91"/>
      <c r="CJ352" s="92"/>
      <c r="CK352" s="92"/>
      <c r="CL352" s="93"/>
    </row>
    <row r="353" spans="2:90" ht="17.649999999999999" customHeight="1" x14ac:dyDescent="0.25">
      <c r="B353" s="82" t="s">
        <v>244</v>
      </c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  <c r="AA353" s="83"/>
      <c r="AB353" s="83"/>
      <c r="AC353" s="83"/>
      <c r="AD353" s="83"/>
      <c r="AE353" s="83"/>
      <c r="AF353" s="83"/>
      <c r="AG353" s="83"/>
      <c r="AH353" s="83"/>
      <c r="AI353" s="83"/>
      <c r="AJ353" s="83"/>
      <c r="AK353" s="83"/>
      <c r="AL353" s="83"/>
      <c r="AM353" s="83"/>
      <c r="AN353" s="83"/>
      <c r="AO353" s="83"/>
      <c r="AP353" s="83"/>
      <c r="AQ353" s="83"/>
      <c r="AR353" s="83"/>
      <c r="AS353" s="83"/>
      <c r="AT353" s="83"/>
      <c r="AU353" s="83"/>
      <c r="AV353" s="83"/>
      <c r="AW353" s="83"/>
      <c r="AX353" s="83"/>
      <c r="AY353" s="83"/>
      <c r="AZ353" s="83"/>
      <c r="BA353" s="83"/>
      <c r="BB353" s="83"/>
      <c r="BC353" s="83"/>
      <c r="BD353" s="83"/>
      <c r="BE353" s="83"/>
      <c r="BF353" s="83"/>
      <c r="BG353" s="83"/>
      <c r="BH353" s="83"/>
      <c r="BI353" s="83"/>
      <c r="BJ353" s="83"/>
      <c r="BK353" s="83"/>
      <c r="BL353" s="83"/>
      <c r="BM353" s="83"/>
      <c r="BN353" s="83"/>
      <c r="BO353" s="83"/>
      <c r="BP353" s="83"/>
      <c r="BQ353" s="83"/>
      <c r="BR353" s="83"/>
      <c r="BS353" s="83"/>
      <c r="BT353" s="83"/>
      <c r="BU353" s="83"/>
      <c r="BV353" s="83"/>
      <c r="BW353" s="83"/>
      <c r="BX353" s="83"/>
      <c r="BY353" s="83"/>
      <c r="BZ353" s="83"/>
      <c r="CA353" s="83"/>
      <c r="CB353" s="83"/>
      <c r="CC353" s="83"/>
      <c r="CD353" s="83"/>
      <c r="CE353" s="83"/>
      <c r="CF353" s="83"/>
      <c r="CG353" s="83"/>
      <c r="CH353" s="94">
        <f>TRUNC(CI353+CJ353+CK353,0)</f>
        <v>1971</v>
      </c>
      <c r="CI353" s="94">
        <f>TRUNC(CI355+CI356+CI360+CI367,0)</f>
        <v>1303</v>
      </c>
      <c r="CJ353" s="54">
        <f>TRUNC(CJ361+CJ364,0)+CJ368</f>
        <v>638.4</v>
      </c>
      <c r="CK353" s="54">
        <f>TRUNC(CK362+CK369,0)</f>
        <v>30</v>
      </c>
      <c r="CL353" s="99">
        <v>171</v>
      </c>
    </row>
    <row r="354" spans="2:90" ht="17.649999999999999" customHeight="1" x14ac:dyDescent="0.25">
      <c r="B354" s="26"/>
      <c r="C354" s="23"/>
      <c r="D354" s="23" t="s">
        <v>94</v>
      </c>
      <c r="E354" s="23"/>
      <c r="F354" s="23"/>
      <c r="G354" s="23" t="s">
        <v>161</v>
      </c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  <c r="BX354" s="23"/>
      <c r="BY354" s="23"/>
      <c r="BZ354" s="23"/>
      <c r="CA354" s="23"/>
      <c r="CB354" s="23"/>
      <c r="CC354" s="23"/>
      <c r="CD354" s="23"/>
      <c r="CE354" s="23"/>
      <c r="CF354" s="23"/>
      <c r="CG354" s="23"/>
      <c r="CH354" s="27"/>
      <c r="CI354" s="27"/>
      <c r="CJ354" s="28"/>
      <c r="CK354" s="28"/>
      <c r="CL354" s="39" t="s">
        <v>245</v>
      </c>
    </row>
    <row r="355" spans="2:90" ht="17.649999999999999" customHeight="1" x14ac:dyDescent="0.25">
      <c r="B355" s="26"/>
      <c r="C355" s="23"/>
      <c r="D355" s="23"/>
      <c r="E355" s="23"/>
      <c r="F355" s="23"/>
      <c r="G355" s="23" t="s">
        <v>246</v>
      </c>
      <c r="H355" s="23"/>
      <c r="I355" s="23"/>
      <c r="J355" s="23"/>
      <c r="K355" s="23"/>
      <c r="L355" s="23"/>
      <c r="M355" s="23"/>
      <c r="N355" s="23"/>
      <c r="O355" s="23" t="s">
        <v>121</v>
      </c>
      <c r="P355" s="23" t="str">
        <f>TEXT([1]노임및중기단가!I7,"#,##0.#######")</f>
        <v>166,063.</v>
      </c>
      <c r="Q355" s="23"/>
      <c r="R355" s="23"/>
      <c r="S355" s="23"/>
      <c r="T355" s="23"/>
      <c r="U355" s="23"/>
      <c r="V355" s="23"/>
      <c r="W355" s="23"/>
      <c r="X355" s="23" t="s">
        <v>102</v>
      </c>
      <c r="Y355" s="23"/>
      <c r="Z355" s="23"/>
      <c r="AA355" s="23" t="str">
        <f>TEXT(1,"#,##0.#######")</f>
        <v>1.</v>
      </c>
      <c r="AB355" s="23"/>
      <c r="AC355" s="23" t="s">
        <v>247</v>
      </c>
      <c r="AD355" s="23"/>
      <c r="AE355" s="29"/>
      <c r="AF355" s="23" t="s">
        <v>149</v>
      </c>
      <c r="AG355" s="29"/>
      <c r="AH355" s="23" t="str">
        <f>TEXT(500,"#,##0.#######")</f>
        <v>500.</v>
      </c>
      <c r="AI355" s="29"/>
      <c r="AJ355" s="29"/>
      <c r="AK355" s="23" t="s">
        <v>248</v>
      </c>
      <c r="AL355" s="23"/>
      <c r="AM355" s="23"/>
      <c r="AN355" s="23"/>
      <c r="AO355" s="29"/>
      <c r="AP355" s="23" t="s">
        <v>103</v>
      </c>
      <c r="AQ355" s="23"/>
      <c r="AR355" s="23"/>
      <c r="AS355" s="23" t="str">
        <f>TEXT(TRUNC(P355*AA355/AH355,1),"#,##0.#")</f>
        <v>332.1</v>
      </c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  <c r="BX355" s="23"/>
      <c r="BY355" s="23"/>
      <c r="BZ355" s="23"/>
      <c r="CA355" s="23"/>
      <c r="CB355" s="23"/>
      <c r="CC355" s="23"/>
      <c r="CD355" s="23"/>
      <c r="CE355" s="23"/>
      <c r="CF355" s="23"/>
      <c r="CG355" s="23"/>
      <c r="CH355" s="27"/>
      <c r="CI355" s="27" t="str">
        <f>AS355</f>
        <v>332.1</v>
      </c>
      <c r="CJ355" s="28"/>
      <c r="CK355" s="28"/>
      <c r="CL355" s="39"/>
    </row>
    <row r="356" spans="2:90" ht="17.649999999999999" customHeight="1" x14ac:dyDescent="0.25">
      <c r="B356" s="26"/>
      <c r="C356" s="23"/>
      <c r="D356" s="23"/>
      <c r="E356" s="23"/>
      <c r="F356" s="23"/>
      <c r="G356" s="23" t="s">
        <v>164</v>
      </c>
      <c r="H356" s="23"/>
      <c r="I356" s="23"/>
      <c r="J356" s="23"/>
      <c r="K356" s="23"/>
      <c r="L356" s="23"/>
      <c r="M356" s="23"/>
      <c r="N356" s="23"/>
      <c r="O356" s="23" t="s">
        <v>121</v>
      </c>
      <c r="P356" s="23" t="str">
        <f>TEXT([1]노임및중기단가!I8,"#,##0.#######")</f>
        <v>138,290.</v>
      </c>
      <c r="Q356" s="23"/>
      <c r="R356" s="23"/>
      <c r="S356" s="23"/>
      <c r="T356" s="23"/>
      <c r="U356" s="23"/>
      <c r="V356" s="23"/>
      <c r="W356" s="23"/>
      <c r="X356" s="23" t="s">
        <v>102</v>
      </c>
      <c r="Y356" s="23"/>
      <c r="Z356" s="23"/>
      <c r="AA356" s="23" t="str">
        <f>TEXT(1,"#,##0.#######")</f>
        <v>1.</v>
      </c>
      <c r="AB356" s="23"/>
      <c r="AC356" s="23" t="s">
        <v>247</v>
      </c>
      <c r="AD356" s="23"/>
      <c r="AE356" s="29"/>
      <c r="AF356" s="23" t="s">
        <v>122</v>
      </c>
      <c r="AG356" s="29"/>
      <c r="AH356" s="23" t="str">
        <f>TEXT(500,"#,##0.#######")</f>
        <v>500.</v>
      </c>
      <c r="AI356" s="29"/>
      <c r="AJ356" s="29"/>
      <c r="AK356" s="23" t="s">
        <v>248</v>
      </c>
      <c r="AL356" s="23"/>
      <c r="AM356" s="23"/>
      <c r="AN356" s="23"/>
      <c r="AO356" s="29"/>
      <c r="AP356" s="23" t="s">
        <v>103</v>
      </c>
      <c r="AQ356" s="23"/>
      <c r="AR356" s="23"/>
      <c r="AS356" s="23" t="str">
        <f>TEXT(TRUNC(P356*AA356/AH356,1),"#,##0.#")</f>
        <v>276.5</v>
      </c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  <c r="BX356" s="23"/>
      <c r="BY356" s="23"/>
      <c r="BZ356" s="23"/>
      <c r="CA356" s="23"/>
      <c r="CB356" s="23"/>
      <c r="CC356" s="23"/>
      <c r="CD356" s="23"/>
      <c r="CE356" s="23"/>
      <c r="CF356" s="23"/>
      <c r="CG356" s="23"/>
      <c r="CH356" s="27"/>
      <c r="CI356" s="27" t="str">
        <f>AS356</f>
        <v>276.5</v>
      </c>
      <c r="CJ356" s="28"/>
      <c r="CK356" s="28"/>
      <c r="CL356" s="39"/>
    </row>
    <row r="357" spans="2:90" ht="17.649999999999999" customHeight="1" x14ac:dyDescent="0.25">
      <c r="B357" s="26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  <c r="BX357" s="23"/>
      <c r="BY357" s="23"/>
      <c r="BZ357" s="23"/>
      <c r="CA357" s="23"/>
      <c r="CB357" s="23"/>
      <c r="CC357" s="23"/>
      <c r="CD357" s="23"/>
      <c r="CE357" s="23"/>
      <c r="CF357" s="23"/>
      <c r="CG357" s="23"/>
      <c r="CH357" s="27"/>
      <c r="CI357" s="27"/>
      <c r="CJ357" s="28"/>
      <c r="CK357" s="28"/>
      <c r="CL357" s="39"/>
    </row>
    <row r="358" spans="2:90" ht="17.649999999999999" customHeight="1" x14ac:dyDescent="0.25">
      <c r="B358" s="26"/>
      <c r="C358" s="23"/>
      <c r="D358" s="23" t="s">
        <v>168</v>
      </c>
      <c r="E358" s="23"/>
      <c r="F358" s="23"/>
      <c r="G358" s="23" t="s">
        <v>169</v>
      </c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  <c r="BX358" s="23"/>
      <c r="BY358" s="23"/>
      <c r="BZ358" s="23"/>
      <c r="CA358" s="23"/>
      <c r="CB358" s="23"/>
      <c r="CC358" s="23"/>
      <c r="CD358" s="23"/>
      <c r="CE358" s="23"/>
      <c r="CF358" s="23"/>
      <c r="CG358" s="23"/>
      <c r="CH358" s="27"/>
      <c r="CI358" s="27"/>
      <c r="CJ358" s="28"/>
      <c r="CK358" s="28"/>
      <c r="CL358" s="39"/>
    </row>
    <row r="359" spans="2:90" ht="17.649999999999999" customHeight="1" x14ac:dyDescent="0.25">
      <c r="B359" s="26"/>
      <c r="C359" s="23"/>
      <c r="D359" s="23"/>
      <c r="E359" s="23"/>
      <c r="F359" s="23"/>
      <c r="G359" s="23" t="s">
        <v>249</v>
      </c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  <c r="BX359" s="23"/>
      <c r="BY359" s="23"/>
      <c r="BZ359" s="23"/>
      <c r="CA359" s="23"/>
      <c r="CB359" s="23"/>
      <c r="CC359" s="23"/>
      <c r="CD359" s="23"/>
      <c r="CE359" s="23"/>
      <c r="CF359" s="23"/>
      <c r="CG359" s="23"/>
      <c r="CH359" s="27"/>
      <c r="CI359" s="27"/>
      <c r="CJ359" s="28"/>
      <c r="CK359" s="28"/>
      <c r="CL359" s="39"/>
    </row>
    <row r="360" spans="2:90" ht="17.649999999999999" customHeight="1" x14ac:dyDescent="0.25">
      <c r="B360" s="26"/>
      <c r="C360" s="23"/>
      <c r="D360" s="23"/>
      <c r="E360" s="23"/>
      <c r="F360" s="23"/>
      <c r="G360" s="23"/>
      <c r="H360" s="23" t="s">
        <v>120</v>
      </c>
      <c r="I360" s="23"/>
      <c r="J360" s="23"/>
      <c r="K360" s="23"/>
      <c r="L360" s="23"/>
      <c r="M360" s="23" t="s">
        <v>121</v>
      </c>
      <c r="N360" s="23" t="str">
        <f>TEXT([1]기계경비총괄표!G50,"#,##0.#######")</f>
        <v>28,949.</v>
      </c>
      <c r="O360" s="23"/>
      <c r="P360" s="23"/>
      <c r="Q360" s="23"/>
      <c r="R360" s="23"/>
      <c r="S360" s="29"/>
      <c r="T360" s="23" t="s">
        <v>122</v>
      </c>
      <c r="U360" s="29"/>
      <c r="V360" s="23" t="str">
        <f>TEXT(500,"#,##0.#######")</f>
        <v>500.</v>
      </c>
      <c r="W360" s="23"/>
      <c r="X360" s="23"/>
      <c r="Y360" s="23" t="s">
        <v>248</v>
      </c>
      <c r="Z360" s="23"/>
      <c r="AA360" s="23"/>
      <c r="AB360" s="29"/>
      <c r="AC360" s="29"/>
      <c r="AD360" s="23" t="s">
        <v>122</v>
      </c>
      <c r="AE360" s="23"/>
      <c r="AF360" s="23"/>
      <c r="AG360" s="23" t="str">
        <f>TEXT(8,"#,##0.#######")</f>
        <v>8.</v>
      </c>
      <c r="AH360" s="23"/>
      <c r="AI360" s="23" t="s">
        <v>250</v>
      </c>
      <c r="AJ360" s="23"/>
      <c r="AK360" s="23"/>
      <c r="AL360" s="23"/>
      <c r="AM360" s="29"/>
      <c r="AN360" s="23" t="s">
        <v>103</v>
      </c>
      <c r="AO360" s="23"/>
      <c r="AP360" s="23"/>
      <c r="AQ360" s="23" t="str">
        <f>TEXT(TRUNC(N360/(V360/AG360),1),"#,##0.#")</f>
        <v>463.1</v>
      </c>
      <c r="AR360" s="23"/>
      <c r="AS360" s="23"/>
      <c r="AT360" s="23"/>
      <c r="AU360" s="23" t="s">
        <v>251</v>
      </c>
      <c r="AV360" s="23"/>
      <c r="AW360" s="29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34"/>
      <c r="BL360" s="34"/>
      <c r="BM360" s="34"/>
      <c r="BN360" s="34"/>
      <c r="BO360" s="34"/>
      <c r="BP360" s="34"/>
      <c r="BQ360" s="34"/>
      <c r="BR360" s="34"/>
      <c r="BS360" s="34"/>
      <c r="BT360" s="34"/>
      <c r="BU360" s="34"/>
      <c r="BV360" s="34"/>
      <c r="BW360" s="34"/>
      <c r="BX360" s="34"/>
      <c r="BY360" s="34"/>
      <c r="BZ360" s="34"/>
      <c r="CA360" s="34"/>
      <c r="CB360" s="34"/>
      <c r="CC360" s="34"/>
      <c r="CD360" s="34"/>
      <c r="CE360" s="34"/>
      <c r="CF360" s="34"/>
      <c r="CG360" s="34"/>
      <c r="CH360" s="27"/>
      <c r="CI360" s="27" t="str">
        <f>AQ360</f>
        <v>463.1</v>
      </c>
      <c r="CJ360" s="28"/>
      <c r="CK360" s="28"/>
      <c r="CL360" s="39"/>
    </row>
    <row r="361" spans="2:90" ht="17.649999999999999" customHeight="1" x14ac:dyDescent="0.25">
      <c r="B361" s="26"/>
      <c r="C361" s="23"/>
      <c r="D361" s="23"/>
      <c r="E361" s="23"/>
      <c r="F361" s="23"/>
      <c r="G361" s="29"/>
      <c r="H361" s="23" t="s">
        <v>123</v>
      </c>
      <c r="I361" s="23"/>
      <c r="J361" s="23"/>
      <c r="K361" s="23"/>
      <c r="L361" s="23"/>
      <c r="M361" s="23" t="s">
        <v>121</v>
      </c>
      <c r="N361" s="23" t="str">
        <f>TEXT([1]기계경비총괄표!F50,"#,##0.#######")</f>
        <v>9,374.4</v>
      </c>
      <c r="O361" s="23"/>
      <c r="P361" s="23"/>
      <c r="Q361" s="23"/>
      <c r="R361" s="23"/>
      <c r="S361" s="29"/>
      <c r="T361" s="23" t="s">
        <v>122</v>
      </c>
      <c r="U361" s="29"/>
      <c r="V361" s="23" t="str">
        <f>TEXT(500,"#,##0.#######")</f>
        <v>500.</v>
      </c>
      <c r="W361" s="23"/>
      <c r="X361" s="23"/>
      <c r="Y361" s="23" t="s">
        <v>248</v>
      </c>
      <c r="Z361" s="23"/>
      <c r="AA361" s="23"/>
      <c r="AB361" s="29"/>
      <c r="AC361" s="29"/>
      <c r="AD361" s="23" t="s">
        <v>122</v>
      </c>
      <c r="AE361" s="23"/>
      <c r="AF361" s="23"/>
      <c r="AG361" s="23" t="str">
        <f>TEXT(8,"#,##0.#######")</f>
        <v>8.</v>
      </c>
      <c r="AH361" s="23"/>
      <c r="AI361" s="23" t="s">
        <v>250</v>
      </c>
      <c r="AJ361" s="23"/>
      <c r="AK361" s="23"/>
      <c r="AL361" s="23"/>
      <c r="AM361" s="29"/>
      <c r="AN361" s="23" t="s">
        <v>103</v>
      </c>
      <c r="AO361" s="23"/>
      <c r="AP361" s="23"/>
      <c r="AQ361" s="23" t="str">
        <f>TEXT(TRUNC(N361/(V361/AG361),1),"#,##0.#")</f>
        <v>149.9</v>
      </c>
      <c r="AR361" s="23"/>
      <c r="AS361" s="29"/>
      <c r="AT361" s="29"/>
      <c r="AU361" s="23" t="s">
        <v>251</v>
      </c>
      <c r="AV361" s="29"/>
      <c r="AW361" s="29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34"/>
      <c r="BL361" s="34"/>
      <c r="BM361" s="34"/>
      <c r="BN361" s="34"/>
      <c r="BO361" s="34"/>
      <c r="BP361" s="34"/>
      <c r="BQ361" s="34"/>
      <c r="BR361" s="34"/>
      <c r="BS361" s="34"/>
      <c r="BT361" s="34"/>
      <c r="BU361" s="34"/>
      <c r="BV361" s="34"/>
      <c r="BW361" s="34"/>
      <c r="BX361" s="34"/>
      <c r="BY361" s="34"/>
      <c r="BZ361" s="34"/>
      <c r="CA361" s="34"/>
      <c r="CB361" s="34"/>
      <c r="CC361" s="34"/>
      <c r="CD361" s="34"/>
      <c r="CE361" s="34"/>
      <c r="CF361" s="34"/>
      <c r="CG361" s="34"/>
      <c r="CH361" s="27"/>
      <c r="CI361" s="27"/>
      <c r="CJ361" s="28" t="str">
        <f>AQ361</f>
        <v>149.9</v>
      </c>
      <c r="CK361" s="28"/>
      <c r="CL361" s="39"/>
    </row>
    <row r="362" spans="2:90" ht="17.649999999999999" customHeight="1" x14ac:dyDescent="0.25">
      <c r="B362" s="26"/>
      <c r="C362" s="23"/>
      <c r="D362" s="23"/>
      <c r="E362" s="23"/>
      <c r="F362" s="23"/>
      <c r="G362" s="29"/>
      <c r="H362" s="23" t="s">
        <v>172</v>
      </c>
      <c r="I362" s="23"/>
      <c r="J362" s="23"/>
      <c r="K362" s="23"/>
      <c r="L362" s="23" t="s">
        <v>121</v>
      </c>
      <c r="M362" s="23"/>
      <c r="N362" s="23" t="str">
        <f>TEXT([1]기계경비총괄표!H50,"#,##0.#######")</f>
        <v>1,770.2</v>
      </c>
      <c r="O362" s="23"/>
      <c r="P362" s="23"/>
      <c r="Q362" s="23"/>
      <c r="R362" s="23"/>
      <c r="S362" s="29"/>
      <c r="T362" s="23" t="s">
        <v>122</v>
      </c>
      <c r="U362" s="29"/>
      <c r="V362" s="23" t="str">
        <f>TEXT(500,"#,##0.#######")</f>
        <v>500.</v>
      </c>
      <c r="W362" s="23"/>
      <c r="X362" s="23"/>
      <c r="Y362" s="23" t="s">
        <v>248</v>
      </c>
      <c r="Z362" s="23"/>
      <c r="AA362" s="23"/>
      <c r="AB362" s="29"/>
      <c r="AC362" s="29"/>
      <c r="AD362" s="23" t="s">
        <v>122</v>
      </c>
      <c r="AE362" s="23"/>
      <c r="AF362" s="23"/>
      <c r="AG362" s="23" t="str">
        <f>TEXT(8,"#,##0.#######")</f>
        <v>8.</v>
      </c>
      <c r="AH362" s="23"/>
      <c r="AI362" s="23" t="s">
        <v>250</v>
      </c>
      <c r="AJ362" s="23"/>
      <c r="AK362" s="23"/>
      <c r="AL362" s="23"/>
      <c r="AM362" s="29"/>
      <c r="AN362" s="23" t="s">
        <v>103</v>
      </c>
      <c r="AO362" s="23"/>
      <c r="AP362" s="23"/>
      <c r="AQ362" s="23" t="str">
        <f>TEXT(TRUNC(N362/(V362/AG362),1),"#,##0.#")</f>
        <v>28.3</v>
      </c>
      <c r="AR362" s="23"/>
      <c r="AS362" s="29"/>
      <c r="AT362" s="29"/>
      <c r="AU362" s="23" t="s">
        <v>251</v>
      </c>
      <c r="AV362" s="29"/>
      <c r="AW362" s="29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34"/>
      <c r="BL362" s="34"/>
      <c r="BM362" s="34"/>
      <c r="BN362" s="34"/>
      <c r="BO362" s="34"/>
      <c r="BP362" s="34"/>
      <c r="BQ362" s="34"/>
      <c r="BR362" s="34"/>
      <c r="BS362" s="34"/>
      <c r="BT362" s="34"/>
      <c r="BU362" s="34"/>
      <c r="BV362" s="34"/>
      <c r="BW362" s="34"/>
      <c r="BX362" s="34"/>
      <c r="BY362" s="34"/>
      <c r="BZ362" s="34"/>
      <c r="CA362" s="34"/>
      <c r="CB362" s="34"/>
      <c r="CC362" s="34"/>
      <c r="CD362" s="34"/>
      <c r="CE362" s="34"/>
      <c r="CF362" s="34"/>
      <c r="CG362" s="34"/>
      <c r="CH362" s="27"/>
      <c r="CI362" s="27"/>
      <c r="CJ362" s="28"/>
      <c r="CK362" s="28" t="str">
        <f>AQ362</f>
        <v>28.3</v>
      </c>
      <c r="CL362" s="57"/>
    </row>
    <row r="363" spans="2:90" ht="17.649999999999999" customHeight="1" x14ac:dyDescent="0.25">
      <c r="B363" s="26"/>
      <c r="C363" s="23"/>
      <c r="D363" s="23"/>
      <c r="E363" s="23"/>
      <c r="F363" s="23"/>
      <c r="G363" s="23"/>
      <c r="H363" s="23" t="s">
        <v>252</v>
      </c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34"/>
      <c r="BL363" s="34"/>
      <c r="BM363" s="34"/>
      <c r="BN363" s="34"/>
      <c r="BO363" s="34"/>
      <c r="BP363" s="34"/>
      <c r="BQ363" s="34"/>
      <c r="BR363" s="34"/>
      <c r="BS363" s="34"/>
      <c r="BT363" s="34"/>
      <c r="BU363" s="34"/>
      <c r="BV363" s="34"/>
      <c r="BW363" s="34"/>
      <c r="BX363" s="34"/>
      <c r="BY363" s="34"/>
      <c r="BZ363" s="34"/>
      <c r="CA363" s="34"/>
      <c r="CB363" s="34"/>
      <c r="CC363" s="34"/>
      <c r="CD363" s="34"/>
      <c r="CE363" s="34"/>
      <c r="CF363" s="34"/>
      <c r="CG363" s="34"/>
      <c r="CH363" s="27"/>
      <c r="CI363" s="27"/>
      <c r="CJ363" s="28"/>
      <c r="CK363" s="28"/>
      <c r="CL363" s="57"/>
    </row>
    <row r="364" spans="2:90" ht="17.649999999999999" customHeight="1" x14ac:dyDescent="0.25">
      <c r="B364" s="26"/>
      <c r="C364" s="23"/>
      <c r="D364" s="23"/>
      <c r="E364" s="23"/>
      <c r="F364" s="23"/>
      <c r="G364" s="23"/>
      <c r="H364" s="23" t="s">
        <v>253</v>
      </c>
      <c r="I364" s="23"/>
      <c r="J364" s="23"/>
      <c r="K364" s="23"/>
      <c r="L364" s="23"/>
      <c r="M364" s="29"/>
      <c r="N364" s="23" t="s">
        <v>121</v>
      </c>
      <c r="O364" s="23" t="str">
        <f>TEXT([1]자재단가!M90,"#,##0.#######")</f>
        <v>152,000.</v>
      </c>
      <c r="P364" s="23"/>
      <c r="Q364" s="23"/>
      <c r="R364" s="23"/>
      <c r="S364" s="23"/>
      <c r="T364" s="23"/>
      <c r="U364" s="23" t="s">
        <v>102</v>
      </c>
      <c r="V364" s="23"/>
      <c r="W364" s="23"/>
      <c r="X364" s="23" t="str">
        <f>TEXT(0.31,"#,##0.#######")</f>
        <v>0.31</v>
      </c>
      <c r="Y364" s="23"/>
      <c r="Z364" s="23"/>
      <c r="AA364" s="23" t="s">
        <v>254</v>
      </c>
      <c r="AB364" s="23"/>
      <c r="AC364" s="23" t="s">
        <v>122</v>
      </c>
      <c r="AD364" s="23"/>
      <c r="AE364" s="23" t="str">
        <f>TEXT(100,"#,##0.#######")</f>
        <v>100.</v>
      </c>
      <c r="AF364" s="23"/>
      <c r="AG364" s="23"/>
      <c r="AH364" s="23" t="s">
        <v>255</v>
      </c>
      <c r="AI364" s="23"/>
      <c r="AJ364" s="23"/>
      <c r="AK364" s="23" t="s">
        <v>103</v>
      </c>
      <c r="AL364" s="23"/>
      <c r="AM364" s="23"/>
      <c r="AN364" s="23" t="str">
        <f>TEXT(TRUNC(O364*X364/AE364,1),"#,##0.#")</f>
        <v>471.2</v>
      </c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  <c r="BU364" s="23"/>
      <c r="BV364" s="23"/>
      <c r="BW364" s="23"/>
      <c r="BX364" s="23"/>
      <c r="BY364" s="23"/>
      <c r="BZ364" s="23"/>
      <c r="CA364" s="23"/>
      <c r="CB364" s="23"/>
      <c r="CC364" s="23"/>
      <c r="CD364" s="23"/>
      <c r="CE364" s="23"/>
      <c r="CF364" s="23"/>
      <c r="CG364" s="23"/>
      <c r="CH364" s="24"/>
      <c r="CI364" s="24"/>
      <c r="CJ364" s="52" t="str">
        <f>AN364</f>
        <v>471.2</v>
      </c>
      <c r="CK364" s="52"/>
      <c r="CL364" s="57"/>
    </row>
    <row r="365" spans="2:90" ht="17.649999999999999" customHeight="1" x14ac:dyDescent="0.25">
      <c r="B365" s="26"/>
      <c r="C365" s="23"/>
      <c r="D365" s="23"/>
      <c r="E365" s="23"/>
      <c r="F365" s="23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29"/>
      <c r="AZ365" s="29"/>
      <c r="BA365" s="29"/>
      <c r="BB365" s="29"/>
      <c r="BC365" s="29"/>
      <c r="BD365" s="29"/>
      <c r="BE365" s="29"/>
      <c r="BF365" s="29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/>
      <c r="BW365" s="23"/>
      <c r="BX365" s="23"/>
      <c r="BY365" s="23"/>
      <c r="BZ365" s="23"/>
      <c r="CA365" s="23"/>
      <c r="CB365" s="23"/>
      <c r="CC365" s="23"/>
      <c r="CD365" s="23"/>
      <c r="CE365" s="23"/>
      <c r="CF365" s="23"/>
      <c r="CG365" s="23"/>
      <c r="CH365" s="24"/>
      <c r="CI365" s="24"/>
      <c r="CJ365" s="25"/>
      <c r="CK365" s="25"/>
      <c r="CL365" s="57"/>
    </row>
    <row r="366" spans="2:90" ht="17.649999999999999" customHeight="1" x14ac:dyDescent="0.25">
      <c r="B366" s="22"/>
      <c r="C366" s="23"/>
      <c r="D366" s="23"/>
      <c r="E366" s="23"/>
      <c r="F366" s="23"/>
      <c r="G366" s="23" t="s">
        <v>256</v>
      </c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  <c r="BU366" s="23"/>
      <c r="BV366" s="23"/>
      <c r="BW366" s="23"/>
      <c r="BX366" s="23"/>
      <c r="BY366" s="23"/>
      <c r="BZ366" s="23"/>
      <c r="CA366" s="23"/>
      <c r="CB366" s="23"/>
      <c r="CC366" s="23"/>
      <c r="CD366" s="23"/>
      <c r="CE366" s="23"/>
      <c r="CF366" s="23"/>
      <c r="CG366" s="23"/>
      <c r="CH366" s="27"/>
      <c r="CI366" s="27"/>
      <c r="CJ366" s="28"/>
      <c r="CK366" s="28"/>
      <c r="CL366" s="56"/>
    </row>
    <row r="367" spans="2:90" ht="17.649999999999999" customHeight="1" x14ac:dyDescent="0.25">
      <c r="B367" s="22"/>
      <c r="C367" s="23"/>
      <c r="D367" s="23"/>
      <c r="E367" s="23"/>
      <c r="F367" s="23"/>
      <c r="G367" s="23"/>
      <c r="H367" s="23" t="s">
        <v>120</v>
      </c>
      <c r="I367" s="23"/>
      <c r="J367" s="23"/>
      <c r="K367" s="23"/>
      <c r="L367" s="23"/>
      <c r="M367" s="23" t="s">
        <v>121</v>
      </c>
      <c r="N367" s="23" t="str">
        <f>TEXT([1]기계경비총괄표!G64,"#,##0.#######")</f>
        <v>28,949.</v>
      </c>
      <c r="O367" s="23"/>
      <c r="P367" s="23"/>
      <c r="Q367" s="23"/>
      <c r="R367" s="23"/>
      <c r="S367" s="29"/>
      <c r="T367" s="23" t="s">
        <v>122</v>
      </c>
      <c r="U367" s="29"/>
      <c r="V367" s="23" t="str">
        <f>TEXT(500,"#,##0.#######")</f>
        <v>500.</v>
      </c>
      <c r="W367" s="29"/>
      <c r="X367" s="29"/>
      <c r="Y367" s="23" t="s">
        <v>248</v>
      </c>
      <c r="Z367" s="23"/>
      <c r="AA367" s="23"/>
      <c r="AB367" s="29"/>
      <c r="AC367" s="29"/>
      <c r="AD367" s="23" t="s">
        <v>122</v>
      </c>
      <c r="AE367" s="23"/>
      <c r="AF367" s="23"/>
      <c r="AG367" s="23" t="str">
        <f>TEXT(8,"#,##0.#######")</f>
        <v>8.</v>
      </c>
      <c r="AH367" s="23"/>
      <c r="AI367" s="23" t="s">
        <v>250</v>
      </c>
      <c r="AJ367" s="23"/>
      <c r="AK367" s="23"/>
      <c r="AL367" s="23"/>
      <c r="AM367" s="29"/>
      <c r="AO367" s="23" t="s">
        <v>102</v>
      </c>
      <c r="AP367" s="23"/>
      <c r="AQ367" s="23"/>
      <c r="AR367" s="23" t="str">
        <f>TEXT(0.5,"#,##0.#######")</f>
        <v>0.5</v>
      </c>
      <c r="AS367" s="23"/>
      <c r="AT367" s="23"/>
      <c r="AU367" s="23" t="s">
        <v>257</v>
      </c>
      <c r="AV367" s="23"/>
      <c r="AX367" s="23" t="s">
        <v>103</v>
      </c>
      <c r="AY367" s="23"/>
      <c r="AZ367" s="23"/>
      <c r="BA367" s="23" t="str">
        <f>TEXT(TRUNC(N367/(V367/AG367)*AR367,1),"#,##0.#")</f>
        <v>231.5</v>
      </c>
      <c r="BB367" s="23"/>
      <c r="BC367" s="23"/>
      <c r="BD367" s="23"/>
      <c r="BE367" s="23" t="s">
        <v>251</v>
      </c>
      <c r="BF367" s="23"/>
      <c r="BG367" s="23"/>
      <c r="BH367" s="23"/>
      <c r="BR367" s="29"/>
      <c r="BS367" s="23"/>
      <c r="BT367" s="23"/>
      <c r="BU367" s="23"/>
      <c r="BV367" s="23"/>
      <c r="BW367" s="23"/>
      <c r="BX367" s="23"/>
      <c r="BY367" s="23"/>
      <c r="BZ367" s="23"/>
      <c r="CA367" s="23"/>
      <c r="CB367" s="23"/>
      <c r="CC367" s="23"/>
      <c r="CD367" s="23"/>
      <c r="CE367" s="23"/>
      <c r="CF367" s="23"/>
      <c r="CG367" s="23"/>
      <c r="CH367" s="27"/>
      <c r="CI367" s="27" t="str">
        <f>BA367</f>
        <v>231.5</v>
      </c>
      <c r="CJ367" s="28"/>
      <c r="CK367" s="28"/>
      <c r="CL367" s="56"/>
    </row>
    <row r="368" spans="2:90" ht="17.649999999999999" customHeight="1" x14ac:dyDescent="0.25">
      <c r="B368" s="22"/>
      <c r="C368" s="23"/>
      <c r="D368" s="23"/>
      <c r="E368" s="23"/>
      <c r="F368" s="23"/>
      <c r="G368" s="23"/>
      <c r="H368" s="23" t="s">
        <v>123</v>
      </c>
      <c r="I368" s="23"/>
      <c r="J368" s="23"/>
      <c r="K368" s="23"/>
      <c r="L368" s="23"/>
      <c r="M368" s="23" t="s">
        <v>121</v>
      </c>
      <c r="N368" s="23" t="str">
        <f>TEXT([1]기계경비총괄표!F64,"#,##0.#######")</f>
        <v>2,176.</v>
      </c>
      <c r="O368" s="23"/>
      <c r="P368" s="23"/>
      <c r="Q368" s="23"/>
      <c r="R368" s="23"/>
      <c r="S368" s="29"/>
      <c r="T368" s="23" t="s">
        <v>122</v>
      </c>
      <c r="U368" s="29"/>
      <c r="V368" s="23" t="str">
        <f>TEXT(500,"#,##0.#######")</f>
        <v>500.</v>
      </c>
      <c r="W368" s="29"/>
      <c r="X368" s="29"/>
      <c r="Y368" s="23" t="s">
        <v>248</v>
      </c>
      <c r="Z368" s="23"/>
      <c r="AA368" s="23"/>
      <c r="AB368" s="29"/>
      <c r="AC368" s="29"/>
      <c r="AD368" s="23" t="s">
        <v>122</v>
      </c>
      <c r="AE368" s="23"/>
      <c r="AF368" s="23"/>
      <c r="AG368" s="23" t="str">
        <f>TEXT(8,"#,##0.#######")</f>
        <v>8.</v>
      </c>
      <c r="AH368" s="23"/>
      <c r="AI368" s="23" t="s">
        <v>250</v>
      </c>
      <c r="AJ368" s="23"/>
      <c r="AK368" s="23"/>
      <c r="AL368" s="23"/>
      <c r="AM368" s="29"/>
      <c r="AO368" s="23" t="s">
        <v>102</v>
      </c>
      <c r="AP368" s="23"/>
      <c r="AQ368" s="23"/>
      <c r="AR368" s="23" t="str">
        <f>TEXT(0.5,"#,##0.#######")</f>
        <v>0.5</v>
      </c>
      <c r="AS368" s="23"/>
      <c r="AT368" s="23"/>
      <c r="AU368" s="23" t="s">
        <v>257</v>
      </c>
      <c r="AV368" s="23"/>
      <c r="AX368" s="23" t="s">
        <v>103</v>
      </c>
      <c r="AY368" s="23"/>
      <c r="AZ368" s="23"/>
      <c r="BA368" s="23" t="str">
        <f>TEXT(TRUNC(N368/(V368/AG368)*AR368,1),"#,##0.#")</f>
        <v>17.4</v>
      </c>
      <c r="BB368" s="23"/>
      <c r="BC368" s="29"/>
      <c r="BD368" s="29"/>
      <c r="BE368" s="23" t="s">
        <v>251</v>
      </c>
      <c r="BF368" s="29"/>
      <c r="BG368" s="23"/>
      <c r="BH368" s="23"/>
      <c r="BR368" s="29"/>
      <c r="BS368" s="23"/>
      <c r="BT368" s="23"/>
      <c r="BU368" s="23"/>
      <c r="BV368" s="23"/>
      <c r="BW368" s="23"/>
      <c r="BX368" s="23"/>
      <c r="BY368" s="23"/>
      <c r="BZ368" s="23"/>
      <c r="CA368" s="23"/>
      <c r="CB368" s="23"/>
      <c r="CC368" s="23"/>
      <c r="CD368" s="23"/>
      <c r="CE368" s="23"/>
      <c r="CF368" s="23"/>
      <c r="CG368" s="23"/>
      <c r="CH368" s="27"/>
      <c r="CI368" s="27"/>
      <c r="CJ368" s="28" t="str">
        <f>BA368</f>
        <v>17.4</v>
      </c>
      <c r="CK368" s="28"/>
      <c r="CL368" s="39"/>
    </row>
    <row r="369" spans="2:90" ht="17.649999999999999" customHeight="1" x14ac:dyDescent="0.25">
      <c r="B369" s="22"/>
      <c r="C369" s="23"/>
      <c r="D369" s="23"/>
      <c r="E369" s="23"/>
      <c r="F369" s="23"/>
      <c r="G369" s="23"/>
      <c r="H369" s="23" t="s">
        <v>172</v>
      </c>
      <c r="I369" s="23"/>
      <c r="J369" s="23"/>
      <c r="K369" s="23"/>
      <c r="L369" s="23" t="s">
        <v>121</v>
      </c>
      <c r="M369" s="23"/>
      <c r="N369" s="23" t="str">
        <f>TEXT([1]기계경비총괄표!H64,"#,##0.#######")</f>
        <v>225.</v>
      </c>
      <c r="O369" s="23"/>
      <c r="P369" s="23"/>
      <c r="Q369" s="23"/>
      <c r="R369" s="23"/>
      <c r="S369" s="29"/>
      <c r="T369" s="23" t="s">
        <v>122</v>
      </c>
      <c r="U369" s="29"/>
      <c r="V369" s="23" t="str">
        <f>TEXT(500,"#,##0.#######")</f>
        <v>500.</v>
      </c>
      <c r="W369" s="29"/>
      <c r="X369" s="29"/>
      <c r="Y369" s="23" t="s">
        <v>248</v>
      </c>
      <c r="Z369" s="23"/>
      <c r="AA369" s="23"/>
      <c r="AB369" s="29"/>
      <c r="AC369" s="29"/>
      <c r="AD369" s="23" t="s">
        <v>122</v>
      </c>
      <c r="AE369" s="23"/>
      <c r="AF369" s="23"/>
      <c r="AG369" s="23" t="str">
        <f>TEXT(8,"#,##0.#######")</f>
        <v>8.</v>
      </c>
      <c r="AH369" s="23"/>
      <c r="AI369" s="23" t="s">
        <v>250</v>
      </c>
      <c r="AJ369" s="23"/>
      <c r="AK369" s="23"/>
      <c r="AL369" s="23"/>
      <c r="AM369" s="29"/>
      <c r="AO369" s="23" t="s">
        <v>102</v>
      </c>
      <c r="AP369" s="23"/>
      <c r="AQ369" s="23"/>
      <c r="AR369" s="23" t="str">
        <f>TEXT(0.5,"#,##0.#######")</f>
        <v>0.5</v>
      </c>
      <c r="AS369" s="23"/>
      <c r="AT369" s="23"/>
      <c r="AU369" s="23" t="s">
        <v>257</v>
      </c>
      <c r="AV369" s="23"/>
      <c r="AX369" s="23" t="s">
        <v>103</v>
      </c>
      <c r="AY369" s="23"/>
      <c r="AZ369" s="23"/>
      <c r="BA369" s="23" t="str">
        <f>TEXT(TRUNC(N369/(V369/AG369)*AR369,1),"#,##0.#")</f>
        <v>1.8</v>
      </c>
      <c r="BB369" s="23"/>
      <c r="BC369" s="29"/>
      <c r="BD369" s="29"/>
      <c r="BE369" s="23" t="s">
        <v>251</v>
      </c>
      <c r="BF369" s="29"/>
      <c r="BG369" s="23"/>
      <c r="BH369" s="23"/>
      <c r="BR369" s="29"/>
      <c r="BS369" s="23"/>
      <c r="BT369" s="23"/>
      <c r="BU369" s="23"/>
      <c r="BV369" s="23"/>
      <c r="BW369" s="23"/>
      <c r="BX369" s="23"/>
      <c r="BY369" s="23"/>
      <c r="BZ369" s="23"/>
      <c r="CA369" s="23"/>
      <c r="CB369" s="23"/>
      <c r="CC369" s="23"/>
      <c r="CD369" s="23"/>
      <c r="CE369" s="23"/>
      <c r="CF369" s="23"/>
      <c r="CG369" s="23"/>
      <c r="CH369" s="27"/>
      <c r="CI369" s="27"/>
      <c r="CJ369" s="28"/>
      <c r="CK369" s="28" t="str">
        <f>BA369</f>
        <v>1.8</v>
      </c>
      <c r="CL369" s="39"/>
    </row>
    <row r="370" spans="2:90" ht="17.649999999999999" customHeight="1" x14ac:dyDescent="0.25">
      <c r="B370" s="22"/>
      <c r="C370" s="23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  <c r="AX370" s="29"/>
      <c r="AY370" s="29"/>
      <c r="AZ370" s="29"/>
      <c r="BA370" s="29"/>
      <c r="BB370" s="29"/>
      <c r="BC370" s="29"/>
      <c r="BD370" s="29"/>
      <c r="BE370" s="29"/>
      <c r="BF370" s="29"/>
      <c r="BG370" s="29"/>
      <c r="BH370" s="29"/>
      <c r="BI370" s="29"/>
      <c r="BJ370" s="29"/>
      <c r="BK370" s="29"/>
      <c r="BL370" s="29"/>
      <c r="BM370" s="29"/>
      <c r="BN370" s="29"/>
      <c r="BO370" s="29"/>
      <c r="BP370" s="29"/>
      <c r="BQ370" s="29"/>
      <c r="BR370" s="29"/>
      <c r="BS370" s="29"/>
      <c r="BT370" s="29"/>
      <c r="BU370" s="29"/>
      <c r="BV370" s="29"/>
      <c r="BW370" s="29"/>
      <c r="BX370" s="29"/>
      <c r="BY370" s="29"/>
      <c r="BZ370" s="29"/>
      <c r="CA370" s="29"/>
      <c r="CB370" s="29"/>
      <c r="CC370" s="29"/>
      <c r="CD370" s="29"/>
      <c r="CE370" s="29"/>
      <c r="CF370" s="29"/>
      <c r="CG370" s="29"/>
      <c r="CH370" s="24"/>
      <c r="CI370" s="24"/>
      <c r="CJ370" s="25"/>
      <c r="CK370" s="25"/>
      <c r="CL370" s="56"/>
    </row>
    <row r="371" spans="2:90" ht="17.649999999999999" customHeight="1" x14ac:dyDescent="0.25">
      <c r="B371" s="22"/>
      <c r="C371" s="23"/>
      <c r="D371" s="29"/>
      <c r="E371" s="29"/>
      <c r="F371" s="29"/>
      <c r="G371" s="23" t="s">
        <v>120</v>
      </c>
      <c r="H371" s="23"/>
      <c r="I371" s="23"/>
      <c r="J371" s="23"/>
      <c r="K371" s="23"/>
      <c r="L371" s="23"/>
      <c r="M371" s="23"/>
      <c r="N371" s="23" t="s">
        <v>121</v>
      </c>
      <c r="O371" s="23"/>
      <c r="P371" s="23" t="str">
        <f>AS355</f>
        <v>332.1</v>
      </c>
      <c r="Q371" s="23"/>
      <c r="R371" s="23"/>
      <c r="S371" s="23"/>
      <c r="T371" s="23"/>
      <c r="U371" s="23"/>
      <c r="V371" s="23"/>
      <c r="W371" s="23" t="s">
        <v>97</v>
      </c>
      <c r="X371" s="23"/>
      <c r="Y371" s="23" t="str">
        <f>AS356</f>
        <v>276.5</v>
      </c>
      <c r="Z371" s="23"/>
      <c r="AA371" s="23"/>
      <c r="AB371" s="23"/>
      <c r="AC371" s="23"/>
      <c r="AD371" s="23"/>
      <c r="AE371" s="23" t="s">
        <v>97</v>
      </c>
      <c r="AF371" s="23"/>
      <c r="AG371" s="23" t="str">
        <f>AQ360</f>
        <v>463.1</v>
      </c>
      <c r="AH371" s="23"/>
      <c r="AI371" s="23"/>
      <c r="AJ371" s="23"/>
      <c r="AK371" s="23"/>
      <c r="AL371" s="23" t="s">
        <v>97</v>
      </c>
      <c r="AM371" s="23"/>
      <c r="AN371" s="23" t="str">
        <f>BA367</f>
        <v>231.5</v>
      </c>
      <c r="AO371" s="23"/>
      <c r="AP371" s="23"/>
      <c r="AQ371" s="23"/>
      <c r="AR371" s="29"/>
      <c r="AS371" s="29"/>
      <c r="AT371" s="23" t="s">
        <v>103</v>
      </c>
      <c r="AU371" s="23"/>
      <c r="AV371" s="23" t="str">
        <f>TEXT(TRUNC(P371+Y371+AG371+AN371,1),"#,##0.#")</f>
        <v>1,303.2</v>
      </c>
      <c r="AW371" s="23"/>
      <c r="AX371" s="23"/>
      <c r="AY371" s="23"/>
      <c r="AZ371" s="29"/>
      <c r="BA371" s="29"/>
      <c r="BB371" s="29"/>
      <c r="BC371" s="29"/>
      <c r="BD371" s="29"/>
      <c r="BE371" s="29"/>
      <c r="BF371" s="29"/>
      <c r="BG371" s="29"/>
      <c r="BH371" s="29"/>
      <c r="BI371" s="29"/>
      <c r="BJ371" s="29"/>
      <c r="BK371" s="29"/>
      <c r="BL371" s="29"/>
      <c r="BM371" s="29"/>
      <c r="BN371" s="29"/>
      <c r="BO371" s="29"/>
      <c r="BP371" s="29"/>
      <c r="BQ371" s="29"/>
      <c r="BR371" s="29"/>
      <c r="BS371" s="29"/>
      <c r="BT371" s="29"/>
      <c r="BU371" s="29"/>
      <c r="BV371" s="29"/>
      <c r="BW371" s="29"/>
      <c r="BX371" s="29"/>
      <c r="BY371" s="29"/>
      <c r="BZ371" s="29"/>
      <c r="CA371" s="29"/>
      <c r="CB371" s="29"/>
      <c r="CC371" s="29"/>
      <c r="CD371" s="29"/>
      <c r="CE371" s="29"/>
      <c r="CF371" s="29"/>
      <c r="CG371" s="29"/>
      <c r="CH371" s="27"/>
      <c r="CI371" s="27"/>
      <c r="CJ371" s="28"/>
      <c r="CK371" s="28"/>
      <c r="CL371" s="39"/>
    </row>
    <row r="372" spans="2:90" ht="17.649999999999999" customHeight="1" x14ac:dyDescent="0.25">
      <c r="B372" s="22"/>
      <c r="C372" s="23"/>
      <c r="D372" s="23"/>
      <c r="E372" s="23"/>
      <c r="F372" s="23"/>
      <c r="G372" s="23" t="s">
        <v>123</v>
      </c>
      <c r="H372" s="23"/>
      <c r="I372" s="23"/>
      <c r="J372" s="23"/>
      <c r="K372" s="23"/>
      <c r="L372" s="23"/>
      <c r="M372" s="23"/>
      <c r="N372" s="23" t="s">
        <v>121</v>
      </c>
      <c r="O372" s="23"/>
      <c r="P372" s="23" t="str">
        <f>AQ361</f>
        <v>149.9</v>
      </c>
      <c r="Q372" s="23"/>
      <c r="R372" s="23"/>
      <c r="S372" s="23"/>
      <c r="T372" s="23"/>
      <c r="U372" s="23"/>
      <c r="V372" s="23"/>
      <c r="W372" s="23" t="s">
        <v>97</v>
      </c>
      <c r="X372" s="23"/>
      <c r="Y372" s="23" t="str">
        <f>AN364</f>
        <v>471.2</v>
      </c>
      <c r="Z372" s="23"/>
      <c r="AA372" s="23"/>
      <c r="AB372" s="23"/>
      <c r="AC372" s="23"/>
      <c r="AD372" s="23"/>
      <c r="AE372" s="23" t="s">
        <v>97</v>
      </c>
      <c r="AF372" s="23"/>
      <c r="AG372" s="23" t="str">
        <f>BA368</f>
        <v>17.4</v>
      </c>
      <c r="AH372" s="23"/>
      <c r="AI372" s="23"/>
      <c r="AJ372" s="23"/>
      <c r="AK372" s="23"/>
      <c r="AL372" s="23"/>
      <c r="AM372" s="29"/>
      <c r="AN372" s="29"/>
      <c r="AO372" s="29"/>
      <c r="AP372" s="29"/>
      <c r="AQ372" s="29"/>
      <c r="AR372" s="29"/>
      <c r="AS372" s="23"/>
      <c r="AT372" s="23" t="s">
        <v>103</v>
      </c>
      <c r="AU372" s="23"/>
      <c r="AV372" s="23" t="str">
        <f>TEXT(TRUNC(P372+Y372+AG372+AN372,1),"#,##0.#")</f>
        <v>638.5</v>
      </c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  <c r="BU372" s="23"/>
      <c r="BV372" s="23"/>
      <c r="BW372" s="23"/>
      <c r="BX372" s="23"/>
      <c r="BY372" s="23"/>
      <c r="BZ372" s="23"/>
      <c r="CA372" s="23"/>
      <c r="CB372" s="23"/>
      <c r="CC372" s="23"/>
      <c r="CD372" s="23"/>
      <c r="CE372" s="23"/>
      <c r="CF372" s="23"/>
      <c r="CG372" s="23"/>
      <c r="CH372" s="24"/>
      <c r="CI372" s="24"/>
      <c r="CJ372" s="25"/>
      <c r="CK372" s="25"/>
      <c r="CL372" s="56"/>
    </row>
    <row r="373" spans="2:90" ht="17.649999999999999" customHeight="1" x14ac:dyDescent="0.25">
      <c r="B373" s="22"/>
      <c r="C373" s="23"/>
      <c r="D373" s="23"/>
      <c r="E373" s="23"/>
      <c r="F373" s="23"/>
      <c r="G373" s="23" t="s">
        <v>124</v>
      </c>
      <c r="H373" s="23"/>
      <c r="I373" s="23"/>
      <c r="J373" s="23"/>
      <c r="K373" s="23" t="s">
        <v>125</v>
      </c>
      <c r="L373" s="23"/>
      <c r="M373" s="23"/>
      <c r="N373" s="23" t="s">
        <v>121</v>
      </c>
      <c r="O373" s="23"/>
      <c r="P373" s="23" t="str">
        <f>AQ362</f>
        <v>28.3</v>
      </c>
      <c r="Q373" s="23"/>
      <c r="R373" s="23"/>
      <c r="S373" s="23"/>
      <c r="T373" s="23"/>
      <c r="U373" s="23"/>
      <c r="V373" s="23"/>
      <c r="W373" s="23" t="s">
        <v>97</v>
      </c>
      <c r="X373" s="23"/>
      <c r="Y373" s="23" t="str">
        <f>BA369</f>
        <v>1.8</v>
      </c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9"/>
      <c r="AN373" s="29"/>
      <c r="AO373" s="29"/>
      <c r="AP373" s="29"/>
      <c r="AQ373" s="29"/>
      <c r="AR373" s="29"/>
      <c r="AS373" s="23"/>
      <c r="AT373" s="23" t="s">
        <v>103</v>
      </c>
      <c r="AU373" s="23"/>
      <c r="AV373" s="23" t="str">
        <f>TEXT(TRUNC(P373+Y373+AG373+AN373,1),"#,##0.#")</f>
        <v>30.1</v>
      </c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  <c r="BX373" s="23"/>
      <c r="BY373" s="23"/>
      <c r="BZ373" s="23"/>
      <c r="CA373" s="23"/>
      <c r="CB373" s="23"/>
      <c r="CC373" s="23"/>
      <c r="CD373" s="23"/>
      <c r="CE373" s="23"/>
      <c r="CF373" s="23"/>
      <c r="CG373" s="23"/>
      <c r="CH373" s="27"/>
      <c r="CI373" s="27"/>
      <c r="CJ373" s="28"/>
      <c r="CK373" s="28"/>
      <c r="CL373" s="39"/>
    </row>
    <row r="374" spans="2:90" ht="17.649999999999999" customHeight="1" x14ac:dyDescent="0.25">
      <c r="B374" s="22"/>
      <c r="C374" s="23"/>
      <c r="D374" s="23"/>
      <c r="E374" s="23"/>
      <c r="F374" s="23"/>
      <c r="G374" s="23" t="s">
        <v>126</v>
      </c>
      <c r="H374" s="23"/>
      <c r="I374" s="23"/>
      <c r="J374" s="23"/>
      <c r="K374" s="23" t="s">
        <v>127</v>
      </c>
      <c r="L374" s="23"/>
      <c r="M374" s="23"/>
      <c r="N374" s="23" t="s">
        <v>121</v>
      </c>
      <c r="O374" s="23"/>
      <c r="P374" s="23" t="str">
        <f>TEXT(AV371+AV372+AV373,"#,##0.#######")</f>
        <v>1,971.8</v>
      </c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  <c r="BU374" s="23"/>
      <c r="BV374" s="23"/>
      <c r="BW374" s="23"/>
      <c r="BX374" s="23"/>
      <c r="BY374" s="23"/>
      <c r="BZ374" s="23"/>
      <c r="CA374" s="23"/>
      <c r="CB374" s="23"/>
      <c r="CC374" s="23"/>
      <c r="CD374" s="23"/>
      <c r="CE374" s="23"/>
      <c r="CF374" s="23"/>
      <c r="CG374" s="23"/>
      <c r="CH374" s="27">
        <f>CI374+CJ374+CK374</f>
        <v>1971.8</v>
      </c>
      <c r="CI374" s="27" t="str">
        <f>AV371</f>
        <v>1,303.2</v>
      </c>
      <c r="CJ374" s="28" t="str">
        <f>AV372</f>
        <v>638.5</v>
      </c>
      <c r="CK374" s="28" t="str">
        <f>AV373</f>
        <v>30.1</v>
      </c>
      <c r="CL374" s="39"/>
    </row>
    <row r="375" spans="2:90" ht="17.649999999999999" customHeight="1" x14ac:dyDescent="0.25">
      <c r="B375" s="22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  <c r="BU375" s="23"/>
      <c r="BV375" s="23"/>
      <c r="BW375" s="23"/>
      <c r="BX375" s="23"/>
      <c r="BY375" s="23"/>
      <c r="BZ375" s="23"/>
      <c r="CA375" s="23"/>
      <c r="CB375" s="23"/>
      <c r="CC375" s="23"/>
      <c r="CD375" s="23"/>
      <c r="CE375" s="23"/>
      <c r="CF375" s="23"/>
      <c r="CG375" s="23"/>
      <c r="CH375" s="27"/>
      <c r="CI375" s="27"/>
      <c r="CJ375" s="28"/>
      <c r="CK375" s="28"/>
      <c r="CL375" s="39"/>
    </row>
    <row r="376" spans="2:90" ht="17.649999999999999" customHeight="1" x14ac:dyDescent="0.25">
      <c r="B376" s="46" t="s">
        <v>258</v>
      </c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47"/>
      <c r="AD376" s="47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7"/>
      <c r="AP376" s="47"/>
      <c r="AQ376" s="47"/>
      <c r="AR376" s="47"/>
      <c r="AS376" s="47"/>
      <c r="AT376" s="47"/>
      <c r="AU376" s="47"/>
      <c r="AV376" s="47"/>
      <c r="AW376" s="47"/>
      <c r="AX376" s="47"/>
      <c r="AY376" s="47"/>
      <c r="AZ376" s="47"/>
      <c r="BA376" s="47"/>
      <c r="BB376" s="47"/>
      <c r="BC376" s="47"/>
      <c r="BD376" s="47"/>
      <c r="BE376" s="47"/>
      <c r="BF376" s="47"/>
      <c r="BG376" s="47"/>
      <c r="BH376" s="47"/>
      <c r="BI376" s="47"/>
      <c r="BJ376" s="47"/>
      <c r="BK376" s="47"/>
      <c r="BL376" s="47"/>
      <c r="BM376" s="47"/>
      <c r="BN376" s="47"/>
      <c r="BO376" s="47"/>
      <c r="BP376" s="47"/>
      <c r="BQ376" s="47"/>
      <c r="BR376" s="47"/>
      <c r="BS376" s="47"/>
      <c r="BT376" s="47"/>
      <c r="BU376" s="47"/>
      <c r="BV376" s="47"/>
      <c r="BW376" s="47"/>
      <c r="BX376" s="47"/>
      <c r="BY376" s="47"/>
      <c r="BZ376" s="47"/>
      <c r="CA376" s="47"/>
      <c r="CB376" s="47"/>
      <c r="CC376" s="47"/>
      <c r="CD376" s="47"/>
      <c r="CE376" s="47"/>
      <c r="CF376" s="47"/>
      <c r="CG376" s="47"/>
      <c r="CH376" s="48">
        <f>TRUNC(CI376+CJ376+CK376,0)</f>
        <v>1660</v>
      </c>
      <c r="CI376" s="48">
        <f>TRUNC(CI378+CI379+CI383+CI390,0)</f>
        <v>1072</v>
      </c>
      <c r="CJ376" s="49">
        <f>TRUNC(CJ384+CJ387,0)+CJ391</f>
        <v>560.5</v>
      </c>
      <c r="CK376" s="49">
        <f>TRUNC(CK385+CK392,0)</f>
        <v>28</v>
      </c>
      <c r="CL376" s="96">
        <v>172</v>
      </c>
    </row>
    <row r="377" spans="2:90" ht="17.649999999999999" customHeight="1" x14ac:dyDescent="0.25">
      <c r="B377" s="26"/>
      <c r="C377" s="23"/>
      <c r="D377" s="23" t="s">
        <v>94</v>
      </c>
      <c r="E377" s="23"/>
      <c r="F377" s="23"/>
      <c r="G377" s="23" t="s">
        <v>161</v>
      </c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  <c r="BU377" s="23"/>
      <c r="BV377" s="23"/>
      <c r="BW377" s="23"/>
      <c r="BX377" s="23"/>
      <c r="BY377" s="23"/>
      <c r="BZ377" s="23"/>
      <c r="CA377" s="23"/>
      <c r="CB377" s="23"/>
      <c r="CC377" s="23"/>
      <c r="CD377" s="23"/>
      <c r="CE377" s="23"/>
      <c r="CF377" s="23"/>
      <c r="CG377" s="23"/>
      <c r="CH377" s="27"/>
      <c r="CI377" s="27"/>
      <c r="CJ377" s="28"/>
      <c r="CK377" s="28"/>
      <c r="CL377" s="39" t="s">
        <v>245</v>
      </c>
    </row>
    <row r="378" spans="2:90" ht="17.649999999999999" customHeight="1" x14ac:dyDescent="0.25">
      <c r="B378" s="26"/>
      <c r="C378" s="23"/>
      <c r="D378" s="23"/>
      <c r="E378" s="23"/>
      <c r="F378" s="23"/>
      <c r="G378" s="23" t="s">
        <v>246</v>
      </c>
      <c r="H378" s="23"/>
      <c r="I378" s="23"/>
      <c r="J378" s="23"/>
      <c r="K378" s="23"/>
      <c r="L378" s="23"/>
      <c r="M378" s="23"/>
      <c r="N378" s="23"/>
      <c r="O378" s="23" t="s">
        <v>121</v>
      </c>
      <c r="P378" s="23" t="str">
        <f>TEXT([1]노임및중기단가!I7,"#,##0.#######")</f>
        <v>166,063.</v>
      </c>
      <c r="Q378" s="23"/>
      <c r="R378" s="23"/>
      <c r="S378" s="23"/>
      <c r="T378" s="23"/>
      <c r="U378" s="23"/>
      <c r="V378" s="23"/>
      <c r="W378" s="23"/>
      <c r="X378" s="23" t="s">
        <v>102</v>
      </c>
      <c r="Y378" s="23"/>
      <c r="Z378" s="23"/>
      <c r="AA378" s="23" t="str">
        <f>TEXT(1,"#,##0.#######")</f>
        <v>1.</v>
      </c>
      <c r="AB378" s="23"/>
      <c r="AC378" s="23" t="s">
        <v>247</v>
      </c>
      <c r="AD378" s="23"/>
      <c r="AE378" s="29"/>
      <c r="AF378" s="23" t="s">
        <v>122</v>
      </c>
      <c r="AG378" s="29"/>
      <c r="AH378" s="23" t="str">
        <f>TEXT(500,"#,##0.#######")</f>
        <v>500.</v>
      </c>
      <c r="AI378" s="29"/>
      <c r="AJ378" s="29"/>
      <c r="AK378" s="23" t="s">
        <v>248</v>
      </c>
      <c r="AL378" s="23"/>
      <c r="AM378" s="23"/>
      <c r="AN378" s="23"/>
      <c r="AO378" s="29"/>
      <c r="AP378" s="23" t="s">
        <v>103</v>
      </c>
      <c r="AQ378" s="23"/>
      <c r="AR378" s="23"/>
      <c r="AS378" s="23" t="str">
        <f>TEXT(TRUNC(P378*AA378/AH378,1),"#,##0.#")</f>
        <v>332.1</v>
      </c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  <c r="BU378" s="23"/>
      <c r="BV378" s="23"/>
      <c r="BW378" s="23"/>
      <c r="BX378" s="23"/>
      <c r="BY378" s="23"/>
      <c r="BZ378" s="23"/>
      <c r="CA378" s="23"/>
      <c r="CB378" s="23"/>
      <c r="CC378" s="23"/>
      <c r="CD378" s="23"/>
      <c r="CE378" s="23"/>
      <c r="CF378" s="23"/>
      <c r="CG378" s="23"/>
      <c r="CH378" s="27"/>
      <c r="CI378" s="27" t="str">
        <f>AS378</f>
        <v>332.1</v>
      </c>
      <c r="CJ378" s="28"/>
      <c r="CK378" s="28"/>
      <c r="CL378" s="39"/>
    </row>
    <row r="379" spans="2:90" ht="17.649999999999999" customHeight="1" x14ac:dyDescent="0.25">
      <c r="B379" s="26"/>
      <c r="C379" s="23"/>
      <c r="D379" s="23"/>
      <c r="E379" s="23"/>
      <c r="F379" s="23"/>
      <c r="G379" s="23" t="s">
        <v>164</v>
      </c>
      <c r="H379" s="23"/>
      <c r="I379" s="23"/>
      <c r="J379" s="23"/>
      <c r="K379" s="23"/>
      <c r="L379" s="23"/>
      <c r="M379" s="23"/>
      <c r="N379" s="23"/>
      <c r="O379" s="23" t="s">
        <v>121</v>
      </c>
      <c r="P379" s="23" t="str">
        <f>TEXT([1]노임및중기단가!I8,"#,##0.#######")</f>
        <v>138,290.</v>
      </c>
      <c r="Q379" s="23"/>
      <c r="R379" s="23"/>
      <c r="S379" s="23"/>
      <c r="T379" s="23"/>
      <c r="U379" s="23"/>
      <c r="V379" s="23"/>
      <c r="W379" s="23"/>
      <c r="X379" s="23" t="s">
        <v>102</v>
      </c>
      <c r="Y379" s="23"/>
      <c r="Z379" s="23"/>
      <c r="AA379" s="23" t="str">
        <f>TEXT(1,"#,##0.#######")</f>
        <v>1.</v>
      </c>
      <c r="AB379" s="23"/>
      <c r="AC379" s="23" t="s">
        <v>247</v>
      </c>
      <c r="AD379" s="23"/>
      <c r="AE379" s="29"/>
      <c r="AF379" s="23" t="s">
        <v>122</v>
      </c>
      <c r="AG379" s="29"/>
      <c r="AH379" s="23" t="str">
        <f>TEXT(500,"#,##0.#######")</f>
        <v>500.</v>
      </c>
      <c r="AI379" s="29"/>
      <c r="AJ379" s="29"/>
      <c r="AK379" s="23" t="s">
        <v>248</v>
      </c>
      <c r="AL379" s="23"/>
      <c r="AM379" s="23"/>
      <c r="AN379" s="23"/>
      <c r="AO379" s="29"/>
      <c r="AP379" s="23" t="s">
        <v>103</v>
      </c>
      <c r="AQ379" s="23"/>
      <c r="AR379" s="23"/>
      <c r="AS379" s="23" t="str">
        <f>TEXT(TRUNC(P379*AA379/AH379,1),"#,##0.#")</f>
        <v>276.5</v>
      </c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  <c r="BU379" s="23"/>
      <c r="BV379" s="23"/>
      <c r="BW379" s="23"/>
      <c r="BX379" s="23"/>
      <c r="BY379" s="23"/>
      <c r="BZ379" s="23"/>
      <c r="CA379" s="23"/>
      <c r="CB379" s="23"/>
      <c r="CC379" s="23"/>
      <c r="CD379" s="23"/>
      <c r="CE379" s="23"/>
      <c r="CF379" s="23"/>
      <c r="CG379" s="23"/>
      <c r="CH379" s="27"/>
      <c r="CI379" s="27" t="str">
        <f>AS379</f>
        <v>276.5</v>
      </c>
      <c r="CJ379" s="28"/>
      <c r="CK379" s="28"/>
      <c r="CL379" s="39"/>
    </row>
    <row r="380" spans="2:90" ht="17.649999999999999" customHeight="1" x14ac:dyDescent="0.25">
      <c r="B380" s="26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  <c r="BU380" s="23"/>
      <c r="BV380" s="23"/>
      <c r="BW380" s="23"/>
      <c r="BX380" s="23"/>
      <c r="BY380" s="23"/>
      <c r="BZ380" s="23"/>
      <c r="CA380" s="23"/>
      <c r="CB380" s="23"/>
      <c r="CC380" s="23"/>
      <c r="CD380" s="23"/>
      <c r="CE380" s="23"/>
      <c r="CF380" s="23"/>
      <c r="CG380" s="23"/>
      <c r="CH380" s="27"/>
      <c r="CI380" s="27"/>
      <c r="CJ380" s="28"/>
      <c r="CK380" s="28"/>
      <c r="CL380" s="39"/>
    </row>
    <row r="381" spans="2:90" ht="17.649999999999999" customHeight="1" x14ac:dyDescent="0.25">
      <c r="B381" s="26"/>
      <c r="C381" s="23"/>
      <c r="D381" s="23" t="s">
        <v>168</v>
      </c>
      <c r="E381" s="23"/>
      <c r="F381" s="23"/>
      <c r="G381" s="23" t="s">
        <v>169</v>
      </c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  <c r="BU381" s="23"/>
      <c r="BV381" s="23"/>
      <c r="BW381" s="23"/>
      <c r="BX381" s="23"/>
      <c r="BY381" s="23"/>
      <c r="BZ381" s="23"/>
      <c r="CA381" s="23"/>
      <c r="CB381" s="23"/>
      <c r="CC381" s="23"/>
      <c r="CD381" s="23"/>
      <c r="CE381" s="23"/>
      <c r="CF381" s="23"/>
      <c r="CG381" s="23"/>
      <c r="CH381" s="27"/>
      <c r="CI381" s="27"/>
      <c r="CJ381" s="28"/>
      <c r="CK381" s="28"/>
      <c r="CL381" s="39"/>
    </row>
    <row r="382" spans="2:90" ht="17.649999999999999" customHeight="1" x14ac:dyDescent="0.25">
      <c r="B382" s="26"/>
      <c r="C382" s="23"/>
      <c r="D382" s="23"/>
      <c r="E382" s="23"/>
      <c r="F382" s="23"/>
      <c r="G382" s="23" t="s">
        <v>249</v>
      </c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  <c r="BU382" s="23"/>
      <c r="BV382" s="23"/>
      <c r="BW382" s="23"/>
      <c r="BX382" s="23"/>
      <c r="BY382" s="23"/>
      <c r="BZ382" s="23"/>
      <c r="CA382" s="23"/>
      <c r="CB382" s="23"/>
      <c r="CC382" s="23"/>
      <c r="CD382" s="23"/>
      <c r="CE382" s="23"/>
      <c r="CF382" s="23"/>
      <c r="CG382" s="23"/>
      <c r="CH382" s="27"/>
      <c r="CI382" s="27"/>
      <c r="CJ382" s="28"/>
      <c r="CK382" s="28"/>
      <c r="CL382" s="39"/>
    </row>
    <row r="383" spans="2:90" ht="17.649999999999999" customHeight="1" x14ac:dyDescent="0.25">
      <c r="B383" s="26"/>
      <c r="C383" s="23"/>
      <c r="D383" s="23"/>
      <c r="E383" s="23"/>
      <c r="F383" s="23"/>
      <c r="G383" s="23"/>
      <c r="H383" s="23" t="s">
        <v>120</v>
      </c>
      <c r="I383" s="23"/>
      <c r="J383" s="23"/>
      <c r="K383" s="23"/>
      <c r="L383" s="23"/>
      <c r="M383" s="23" t="s">
        <v>121</v>
      </c>
      <c r="N383" s="23" t="str">
        <f>TEXT([1]기계경비총괄표!G50,"#,##0.#######")</f>
        <v>28,949.</v>
      </c>
      <c r="O383" s="23"/>
      <c r="P383" s="23"/>
      <c r="Q383" s="23"/>
      <c r="R383" s="23"/>
      <c r="S383" s="29"/>
      <c r="T383" s="23" t="s">
        <v>122</v>
      </c>
      <c r="U383" s="29"/>
      <c r="V383" s="23" t="str">
        <f>TEXT(500,"#,##0.#######")</f>
        <v>500.</v>
      </c>
      <c r="W383" s="23"/>
      <c r="X383" s="23"/>
      <c r="Y383" s="23" t="s">
        <v>248</v>
      </c>
      <c r="Z383" s="23"/>
      <c r="AA383" s="23"/>
      <c r="AB383" s="29"/>
      <c r="AC383" s="29"/>
      <c r="AD383" s="23" t="s">
        <v>122</v>
      </c>
      <c r="AE383" s="23"/>
      <c r="AF383" s="23"/>
      <c r="AG383" s="23" t="str">
        <f>TEXT(8,"#,##0.#######")</f>
        <v>8.</v>
      </c>
      <c r="AH383" s="23"/>
      <c r="AI383" s="23" t="s">
        <v>250</v>
      </c>
      <c r="AJ383" s="23"/>
      <c r="AK383" s="23"/>
      <c r="AL383" s="23"/>
      <c r="AM383" s="29"/>
      <c r="AN383" s="23" t="s">
        <v>103</v>
      </c>
      <c r="AO383" s="23"/>
      <c r="AP383" s="23"/>
      <c r="AQ383" s="23" t="str">
        <f>TEXT(TRUNC(N383/(V383/AG383),1),"#,##0.#")</f>
        <v>463.1</v>
      </c>
      <c r="AR383" s="23"/>
      <c r="AS383" s="23"/>
      <c r="AT383" s="23"/>
      <c r="AU383" s="23" t="s">
        <v>251</v>
      </c>
      <c r="AV383" s="23"/>
      <c r="AW383" s="29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34"/>
      <c r="BL383" s="34"/>
      <c r="BM383" s="34"/>
      <c r="BN383" s="34"/>
      <c r="BO383" s="34"/>
      <c r="BP383" s="34"/>
      <c r="BQ383" s="34"/>
      <c r="BR383" s="34"/>
      <c r="BS383" s="34"/>
      <c r="BT383" s="34"/>
      <c r="BU383" s="34"/>
      <c r="BV383" s="34"/>
      <c r="BW383" s="34"/>
      <c r="BX383" s="34"/>
      <c r="BY383" s="34"/>
      <c r="BZ383" s="34"/>
      <c r="CA383" s="34"/>
      <c r="CB383" s="34"/>
      <c r="CC383" s="34"/>
      <c r="CD383" s="34"/>
      <c r="CE383" s="34"/>
      <c r="CF383" s="34"/>
      <c r="CG383" s="34"/>
      <c r="CH383" s="27"/>
      <c r="CI383" s="27" t="str">
        <f>AQ383</f>
        <v>463.1</v>
      </c>
      <c r="CJ383" s="28"/>
      <c r="CK383" s="28"/>
      <c r="CL383" s="39"/>
    </row>
    <row r="384" spans="2:90" ht="17.649999999999999" customHeight="1" x14ac:dyDescent="0.25">
      <c r="B384" s="26"/>
      <c r="C384" s="23"/>
      <c r="D384" s="23"/>
      <c r="E384" s="23"/>
      <c r="F384" s="23"/>
      <c r="G384" s="29"/>
      <c r="H384" s="23" t="s">
        <v>123</v>
      </c>
      <c r="I384" s="23"/>
      <c r="J384" s="23"/>
      <c r="K384" s="23"/>
      <c r="L384" s="23"/>
      <c r="M384" s="23" t="s">
        <v>121</v>
      </c>
      <c r="N384" s="23" t="str">
        <f>TEXT([1]기계경비총괄표!F50,"#,##0.#######")</f>
        <v>9,374.4</v>
      </c>
      <c r="O384" s="23"/>
      <c r="P384" s="23"/>
      <c r="Q384" s="23"/>
      <c r="R384" s="23"/>
      <c r="S384" s="29"/>
      <c r="T384" s="23" t="s">
        <v>122</v>
      </c>
      <c r="U384" s="29"/>
      <c r="V384" s="23" t="str">
        <f>TEXT(500,"#,##0.#######")</f>
        <v>500.</v>
      </c>
      <c r="W384" s="23"/>
      <c r="X384" s="23"/>
      <c r="Y384" s="23" t="s">
        <v>248</v>
      </c>
      <c r="Z384" s="23"/>
      <c r="AA384" s="23"/>
      <c r="AB384" s="29"/>
      <c r="AC384" s="29"/>
      <c r="AD384" s="23" t="s">
        <v>122</v>
      </c>
      <c r="AE384" s="23"/>
      <c r="AF384" s="23"/>
      <c r="AG384" s="23" t="str">
        <f>TEXT(8,"#,##0.#######")</f>
        <v>8.</v>
      </c>
      <c r="AH384" s="23"/>
      <c r="AI384" s="23" t="s">
        <v>250</v>
      </c>
      <c r="AJ384" s="23"/>
      <c r="AK384" s="23"/>
      <c r="AL384" s="23"/>
      <c r="AM384" s="29"/>
      <c r="AN384" s="23" t="s">
        <v>103</v>
      </c>
      <c r="AO384" s="23"/>
      <c r="AP384" s="23"/>
      <c r="AQ384" s="23" t="str">
        <f>TEXT(TRUNC(N384/(V384/AG384),1),"#,##0.#")</f>
        <v>149.9</v>
      </c>
      <c r="AR384" s="23"/>
      <c r="AS384" s="29"/>
      <c r="AT384" s="29"/>
      <c r="AU384" s="23" t="s">
        <v>251</v>
      </c>
      <c r="AV384" s="29"/>
      <c r="AW384" s="29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34"/>
      <c r="BL384" s="34"/>
      <c r="BM384" s="34"/>
      <c r="BN384" s="34"/>
      <c r="BO384" s="34"/>
      <c r="BP384" s="34"/>
      <c r="BQ384" s="34"/>
      <c r="BR384" s="34"/>
      <c r="BS384" s="34"/>
      <c r="BT384" s="34"/>
      <c r="BU384" s="34"/>
      <c r="BV384" s="34"/>
      <c r="BW384" s="34"/>
      <c r="BX384" s="34"/>
      <c r="BY384" s="34"/>
      <c r="BZ384" s="34"/>
      <c r="CA384" s="34"/>
      <c r="CB384" s="34"/>
      <c r="CC384" s="34"/>
      <c r="CD384" s="34"/>
      <c r="CE384" s="34"/>
      <c r="CF384" s="34"/>
      <c r="CG384" s="34"/>
      <c r="CH384" s="27"/>
      <c r="CI384" s="27"/>
      <c r="CJ384" s="28" t="str">
        <f>AQ384</f>
        <v>149.9</v>
      </c>
      <c r="CK384" s="28"/>
      <c r="CL384" s="39"/>
    </row>
    <row r="385" spans="2:90" ht="17.649999999999999" customHeight="1" x14ac:dyDescent="0.25">
      <c r="B385" s="26"/>
      <c r="C385" s="23"/>
      <c r="D385" s="23"/>
      <c r="E385" s="23"/>
      <c r="F385" s="23"/>
      <c r="G385" s="29"/>
      <c r="H385" s="23" t="s">
        <v>172</v>
      </c>
      <c r="I385" s="23"/>
      <c r="J385" s="23"/>
      <c r="K385" s="23"/>
      <c r="L385" s="23" t="s">
        <v>121</v>
      </c>
      <c r="M385" s="23"/>
      <c r="N385" s="23" t="str">
        <f>TEXT([1]기계경비총괄표!H50,"#,##0.#######")</f>
        <v>1,770.2</v>
      </c>
      <c r="O385" s="23"/>
      <c r="P385" s="23"/>
      <c r="Q385" s="23"/>
      <c r="R385" s="23"/>
      <c r="S385" s="29"/>
      <c r="T385" s="23" t="s">
        <v>122</v>
      </c>
      <c r="U385" s="29"/>
      <c r="V385" s="23" t="str">
        <f>TEXT(500,"#,##0.#######")</f>
        <v>500.</v>
      </c>
      <c r="W385" s="23"/>
      <c r="X385" s="23"/>
      <c r="Y385" s="23" t="s">
        <v>248</v>
      </c>
      <c r="Z385" s="23"/>
      <c r="AA385" s="23"/>
      <c r="AB385" s="29"/>
      <c r="AC385" s="29"/>
      <c r="AD385" s="23" t="s">
        <v>122</v>
      </c>
      <c r="AE385" s="23"/>
      <c r="AF385" s="23"/>
      <c r="AG385" s="23" t="str">
        <f>TEXT(8,"#,##0.#######")</f>
        <v>8.</v>
      </c>
      <c r="AH385" s="23"/>
      <c r="AI385" s="23" t="s">
        <v>250</v>
      </c>
      <c r="AJ385" s="23"/>
      <c r="AK385" s="23"/>
      <c r="AL385" s="23"/>
      <c r="AM385" s="29"/>
      <c r="AN385" s="23" t="s">
        <v>103</v>
      </c>
      <c r="AO385" s="23"/>
      <c r="AP385" s="23"/>
      <c r="AQ385" s="23" t="str">
        <f>TEXT(TRUNC(N385/(V385/AG385),1),"#,##0.#")</f>
        <v>28.3</v>
      </c>
      <c r="AR385" s="23"/>
      <c r="AS385" s="29"/>
      <c r="AT385" s="29"/>
      <c r="AU385" s="23" t="s">
        <v>251</v>
      </c>
      <c r="AV385" s="29"/>
      <c r="AW385" s="29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34"/>
      <c r="BL385" s="34"/>
      <c r="BM385" s="34"/>
      <c r="BN385" s="34"/>
      <c r="BO385" s="34"/>
      <c r="BP385" s="34"/>
      <c r="BQ385" s="34"/>
      <c r="BR385" s="34"/>
      <c r="BS385" s="34"/>
      <c r="BT385" s="34"/>
      <c r="BU385" s="34"/>
      <c r="BV385" s="34"/>
      <c r="BW385" s="34"/>
      <c r="BX385" s="34"/>
      <c r="BY385" s="34"/>
      <c r="BZ385" s="34"/>
      <c r="CA385" s="34"/>
      <c r="CB385" s="34"/>
      <c r="CC385" s="34"/>
      <c r="CD385" s="34"/>
      <c r="CE385" s="34"/>
      <c r="CF385" s="34"/>
      <c r="CG385" s="34"/>
      <c r="CH385" s="27"/>
      <c r="CI385" s="27"/>
      <c r="CJ385" s="28"/>
      <c r="CK385" s="28" t="str">
        <f>AQ385</f>
        <v>28.3</v>
      </c>
      <c r="CL385" s="57"/>
    </row>
    <row r="386" spans="2:90" ht="17.649999999999999" customHeight="1" x14ac:dyDescent="0.25">
      <c r="B386" s="26"/>
      <c r="C386" s="23"/>
      <c r="D386" s="23"/>
      <c r="E386" s="23"/>
      <c r="F386" s="23"/>
      <c r="G386" s="23"/>
      <c r="H386" s="23" t="s">
        <v>252</v>
      </c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34"/>
      <c r="BL386" s="34"/>
      <c r="BM386" s="34"/>
      <c r="BN386" s="34"/>
      <c r="BO386" s="34"/>
      <c r="BP386" s="34"/>
      <c r="BQ386" s="34"/>
      <c r="BR386" s="34"/>
      <c r="BS386" s="34"/>
      <c r="BT386" s="34"/>
      <c r="BU386" s="34"/>
      <c r="BV386" s="34"/>
      <c r="BW386" s="34"/>
      <c r="BX386" s="34"/>
      <c r="BY386" s="34"/>
      <c r="BZ386" s="34"/>
      <c r="CA386" s="34"/>
      <c r="CB386" s="34"/>
      <c r="CC386" s="34"/>
      <c r="CD386" s="34"/>
      <c r="CE386" s="34"/>
      <c r="CF386" s="34"/>
      <c r="CG386" s="34"/>
      <c r="CH386" s="27"/>
      <c r="CI386" s="27"/>
      <c r="CJ386" s="28"/>
      <c r="CK386" s="28"/>
      <c r="CL386" s="57"/>
    </row>
    <row r="387" spans="2:90" ht="17.649999999999999" customHeight="1" x14ac:dyDescent="0.25">
      <c r="B387" s="26"/>
      <c r="C387" s="23"/>
      <c r="D387" s="23"/>
      <c r="E387" s="23"/>
      <c r="F387" s="23"/>
      <c r="G387" s="23"/>
      <c r="H387" s="23" t="s">
        <v>253</v>
      </c>
      <c r="I387" s="23"/>
      <c r="J387" s="23"/>
      <c r="K387" s="23"/>
      <c r="L387" s="23"/>
      <c r="M387" s="29"/>
      <c r="N387" s="23" t="s">
        <v>121</v>
      </c>
      <c r="O387" s="23" t="str">
        <f>TEXT([1]자재단가!M90,"#,##0.#######")</f>
        <v>152,000.</v>
      </c>
      <c r="P387" s="23"/>
      <c r="Q387" s="23"/>
      <c r="R387" s="23"/>
      <c r="S387" s="23"/>
      <c r="T387" s="23"/>
      <c r="U387" s="23" t="s">
        <v>102</v>
      </c>
      <c r="V387" s="23"/>
      <c r="W387" s="23"/>
      <c r="X387" s="23" t="str">
        <f>TEXT(0.27,"#,##0.#######")</f>
        <v>0.27</v>
      </c>
      <c r="Y387" s="23"/>
      <c r="Z387" s="23"/>
      <c r="AA387" s="23" t="s">
        <v>254</v>
      </c>
      <c r="AB387" s="23"/>
      <c r="AC387" s="23" t="s">
        <v>122</v>
      </c>
      <c r="AD387" s="23"/>
      <c r="AE387" s="23" t="str">
        <f>TEXT(100,"#,##0.#######")</f>
        <v>100.</v>
      </c>
      <c r="AF387" s="23"/>
      <c r="AG387" s="23"/>
      <c r="AH387" s="23" t="s">
        <v>255</v>
      </c>
      <c r="AI387" s="23"/>
      <c r="AJ387" s="23"/>
      <c r="AK387" s="23" t="s">
        <v>103</v>
      </c>
      <c r="AL387" s="23"/>
      <c r="AM387" s="23"/>
      <c r="AN387" s="23" t="str">
        <f>TEXT(TRUNC(O387*X387/AE387,1),"#,##0.#")</f>
        <v>410.4</v>
      </c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  <c r="BX387" s="23"/>
      <c r="BY387" s="23"/>
      <c r="BZ387" s="23"/>
      <c r="CA387" s="23"/>
      <c r="CB387" s="23"/>
      <c r="CC387" s="23"/>
      <c r="CD387" s="23"/>
      <c r="CE387" s="23"/>
      <c r="CF387" s="23"/>
      <c r="CG387" s="23"/>
      <c r="CH387" s="24"/>
      <c r="CI387" s="24"/>
      <c r="CJ387" s="52" t="str">
        <f>AN387</f>
        <v>410.4</v>
      </c>
      <c r="CK387" s="52"/>
      <c r="CL387" s="57"/>
    </row>
    <row r="388" spans="2:90" ht="17.649999999999999" customHeight="1" x14ac:dyDescent="0.25">
      <c r="B388" s="26"/>
      <c r="C388" s="23"/>
      <c r="D388" s="23"/>
      <c r="E388" s="23"/>
      <c r="F388" s="23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29"/>
      <c r="AZ388" s="29"/>
      <c r="BA388" s="29"/>
      <c r="BB388" s="29"/>
      <c r="BC388" s="29"/>
      <c r="BD388" s="29"/>
      <c r="BE388" s="29"/>
      <c r="BF388" s="29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  <c r="BX388" s="23"/>
      <c r="BY388" s="23"/>
      <c r="BZ388" s="23"/>
      <c r="CA388" s="23"/>
      <c r="CB388" s="23"/>
      <c r="CC388" s="23"/>
      <c r="CD388" s="23"/>
      <c r="CE388" s="23"/>
      <c r="CF388" s="23"/>
      <c r="CG388" s="23"/>
      <c r="CH388" s="24"/>
      <c r="CI388" s="24"/>
      <c r="CJ388" s="25"/>
      <c r="CK388" s="25"/>
      <c r="CL388" s="57"/>
    </row>
    <row r="389" spans="2:90" ht="17.649999999999999" customHeight="1" x14ac:dyDescent="0.25">
      <c r="B389" s="22"/>
      <c r="C389" s="23"/>
      <c r="D389" s="23"/>
      <c r="E389" s="23"/>
      <c r="F389" s="23"/>
      <c r="G389" s="23" t="s">
        <v>256</v>
      </c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  <c r="BX389" s="23"/>
      <c r="BY389" s="23"/>
      <c r="BZ389" s="23"/>
      <c r="CA389" s="23"/>
      <c r="CB389" s="23"/>
      <c r="CC389" s="23"/>
      <c r="CD389" s="23"/>
      <c r="CE389" s="23"/>
      <c r="CF389" s="23"/>
      <c r="CG389" s="23"/>
      <c r="CH389" s="27"/>
      <c r="CI389" s="27"/>
      <c r="CJ389" s="28"/>
      <c r="CK389" s="28"/>
      <c r="CL389" s="56"/>
    </row>
    <row r="390" spans="2:90" ht="17.649999999999999" customHeight="1" x14ac:dyDescent="0.25">
      <c r="B390" s="22"/>
      <c r="C390" s="23"/>
      <c r="D390" s="23"/>
      <c r="E390" s="23"/>
      <c r="F390" s="23"/>
      <c r="G390" s="23"/>
      <c r="H390" s="23" t="s">
        <v>120</v>
      </c>
      <c r="I390" s="23"/>
      <c r="J390" s="23"/>
      <c r="K390" s="23"/>
      <c r="L390" s="23"/>
      <c r="M390" s="23" t="s">
        <v>121</v>
      </c>
      <c r="N390" s="23" t="str">
        <f>TEXT([1]기계경비총괄표!G64,"#,##0.#######")</f>
        <v>28,949.</v>
      </c>
      <c r="O390" s="23"/>
      <c r="P390" s="23"/>
      <c r="Q390" s="23"/>
      <c r="R390" s="23"/>
      <c r="S390" s="29"/>
      <c r="T390" s="23" t="s">
        <v>122</v>
      </c>
      <c r="U390" s="29"/>
      <c r="V390" s="23" t="str">
        <f>TEXT(500,"#,##0.#######")</f>
        <v>500.</v>
      </c>
      <c r="W390" s="29"/>
      <c r="X390" s="29"/>
      <c r="Y390" s="23" t="s">
        <v>248</v>
      </c>
      <c r="Z390" s="23"/>
      <c r="AA390" s="23"/>
      <c r="AB390" s="29"/>
      <c r="AC390" s="29"/>
      <c r="AD390" s="23" t="s">
        <v>122</v>
      </c>
      <c r="AE390" s="23"/>
      <c r="AF390" s="23"/>
      <c r="AG390" s="23" t="str">
        <f>TEXT(8,"#,##0.#######")</f>
        <v>8.</v>
      </c>
      <c r="AH390" s="23"/>
      <c r="AI390" s="23" t="s">
        <v>250</v>
      </c>
      <c r="AJ390" s="23"/>
      <c r="AK390" s="23"/>
      <c r="AL390" s="23"/>
      <c r="AM390" s="29"/>
      <c r="AN390" s="23" t="s">
        <v>102</v>
      </c>
      <c r="AO390" s="23"/>
      <c r="AP390" s="23"/>
      <c r="AQ390" s="23" t="str">
        <f>TEXT(0.5,"#,##0.#######")</f>
        <v>0.5</v>
      </c>
      <c r="AR390" s="23"/>
      <c r="AS390" s="23"/>
      <c r="AT390" s="23" t="s">
        <v>257</v>
      </c>
      <c r="AU390" s="23"/>
      <c r="AW390" s="23" t="s">
        <v>103</v>
      </c>
      <c r="AX390" s="23"/>
      <c r="AY390" s="23"/>
      <c r="AZ390" s="23" t="str">
        <f>TEXT(TRUNC(N390/(V390/AG390)*AQ390,1),"#,##0.#")</f>
        <v>231.5</v>
      </c>
      <c r="BA390" s="23"/>
      <c r="BB390" s="23"/>
      <c r="BC390" s="23"/>
      <c r="BD390" s="23" t="s">
        <v>251</v>
      </c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  <c r="BU390" s="23"/>
      <c r="BV390" s="23"/>
      <c r="BW390" s="23"/>
      <c r="BX390" s="23"/>
      <c r="BY390" s="23"/>
      <c r="BZ390" s="23"/>
      <c r="CA390" s="23"/>
      <c r="CB390" s="23"/>
      <c r="CC390" s="23"/>
      <c r="CD390" s="23"/>
      <c r="CE390" s="23"/>
      <c r="CF390" s="23"/>
      <c r="CG390" s="23"/>
      <c r="CH390" s="27"/>
      <c r="CI390" s="27" t="str">
        <f>AQ390</f>
        <v>0.5</v>
      </c>
      <c r="CJ390" s="28"/>
      <c r="CK390" s="28"/>
      <c r="CL390" s="56"/>
    </row>
    <row r="391" spans="2:90" ht="17.649999999999999" customHeight="1" x14ac:dyDescent="0.25">
      <c r="B391" s="22"/>
      <c r="C391" s="23"/>
      <c r="D391" s="23"/>
      <c r="E391" s="23"/>
      <c r="F391" s="23"/>
      <c r="G391" s="23"/>
      <c r="H391" s="23" t="s">
        <v>123</v>
      </c>
      <c r="I391" s="23"/>
      <c r="J391" s="23"/>
      <c r="K391" s="23"/>
      <c r="L391" s="23"/>
      <c r="M391" s="23" t="s">
        <v>121</v>
      </c>
      <c r="N391" s="23" t="str">
        <f>TEXT([1]기계경비총괄표!F64,"#,##0.#######")</f>
        <v>2,176.</v>
      </c>
      <c r="O391" s="23"/>
      <c r="P391" s="23"/>
      <c r="Q391" s="23"/>
      <c r="R391" s="23"/>
      <c r="S391" s="29"/>
      <c r="T391" s="23" t="s">
        <v>122</v>
      </c>
      <c r="U391" s="29"/>
      <c r="V391" s="23" t="str">
        <f>TEXT(500,"#,##0.#######")</f>
        <v>500.</v>
      </c>
      <c r="W391" s="29"/>
      <c r="X391" s="29"/>
      <c r="Y391" s="23" t="s">
        <v>248</v>
      </c>
      <c r="Z391" s="23"/>
      <c r="AA391" s="23"/>
      <c r="AB391" s="29"/>
      <c r="AC391" s="29"/>
      <c r="AD391" s="23" t="s">
        <v>122</v>
      </c>
      <c r="AE391" s="23"/>
      <c r="AF391" s="23"/>
      <c r="AG391" s="23" t="str">
        <f>TEXT(8,"#,##0.#######")</f>
        <v>8.</v>
      </c>
      <c r="AH391" s="23"/>
      <c r="AI391" s="23" t="s">
        <v>250</v>
      </c>
      <c r="AJ391" s="23"/>
      <c r="AK391" s="23"/>
      <c r="AL391" s="23"/>
      <c r="AM391" s="29"/>
      <c r="AN391" s="23" t="s">
        <v>102</v>
      </c>
      <c r="AO391" s="23"/>
      <c r="AP391" s="23"/>
      <c r="AQ391" s="23" t="str">
        <f>TEXT(0.5,"#,##0.#######")</f>
        <v>0.5</v>
      </c>
      <c r="AR391" s="23"/>
      <c r="AS391" s="23"/>
      <c r="AT391" s="23" t="s">
        <v>257</v>
      </c>
      <c r="AU391" s="23"/>
      <c r="AW391" s="23" t="s">
        <v>103</v>
      </c>
      <c r="AX391" s="23"/>
      <c r="AY391" s="23"/>
      <c r="AZ391" s="23" t="str">
        <f>TEXT(TRUNC(N391/(V391/AG391)*AQ391,1),"#,##0.#")</f>
        <v>17.4</v>
      </c>
      <c r="BA391" s="23"/>
      <c r="BB391" s="29"/>
      <c r="BC391" s="29"/>
      <c r="BD391" s="23" t="s">
        <v>251</v>
      </c>
      <c r="BE391" s="29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  <c r="BX391" s="23"/>
      <c r="BY391" s="23"/>
      <c r="BZ391" s="23"/>
      <c r="CA391" s="23"/>
      <c r="CB391" s="23"/>
      <c r="CC391" s="23"/>
      <c r="CD391" s="23"/>
      <c r="CE391" s="23"/>
      <c r="CF391" s="23"/>
      <c r="CG391" s="23"/>
      <c r="CH391" s="27"/>
      <c r="CI391" s="27"/>
      <c r="CJ391" s="28" t="str">
        <f>AQ391</f>
        <v>0.5</v>
      </c>
      <c r="CK391" s="28"/>
      <c r="CL391" s="39"/>
    </row>
    <row r="392" spans="2:90" ht="17.649999999999999" customHeight="1" x14ac:dyDescent="0.25">
      <c r="B392" s="22"/>
      <c r="C392" s="23"/>
      <c r="D392" s="23"/>
      <c r="E392" s="23"/>
      <c r="F392" s="23"/>
      <c r="G392" s="23"/>
      <c r="H392" s="23" t="s">
        <v>172</v>
      </c>
      <c r="I392" s="23"/>
      <c r="J392" s="23"/>
      <c r="K392" s="23"/>
      <c r="L392" s="23" t="s">
        <v>121</v>
      </c>
      <c r="M392" s="23"/>
      <c r="N392" s="23" t="str">
        <f>TEXT([1]기계경비총괄표!H64,"#,##0.#######")</f>
        <v>225.</v>
      </c>
      <c r="O392" s="23"/>
      <c r="P392" s="23"/>
      <c r="Q392" s="23"/>
      <c r="R392" s="23"/>
      <c r="S392" s="29"/>
      <c r="T392" s="23" t="s">
        <v>122</v>
      </c>
      <c r="U392" s="29"/>
      <c r="V392" s="23" t="str">
        <f>TEXT(500,"#,##0.#######")</f>
        <v>500.</v>
      </c>
      <c r="W392" s="29"/>
      <c r="X392" s="29"/>
      <c r="Y392" s="23" t="s">
        <v>248</v>
      </c>
      <c r="Z392" s="23"/>
      <c r="AA392" s="23"/>
      <c r="AB392" s="29"/>
      <c r="AC392" s="29"/>
      <c r="AD392" s="23" t="s">
        <v>122</v>
      </c>
      <c r="AE392" s="23"/>
      <c r="AF392" s="23"/>
      <c r="AG392" s="23" t="str">
        <f>TEXT(8,"#,##0.#######")</f>
        <v>8.</v>
      </c>
      <c r="AH392" s="23"/>
      <c r="AI392" s="23" t="s">
        <v>250</v>
      </c>
      <c r="AJ392" s="23"/>
      <c r="AK392" s="23"/>
      <c r="AL392" s="23"/>
      <c r="AM392" s="29"/>
      <c r="AN392" s="23" t="s">
        <v>102</v>
      </c>
      <c r="AO392" s="23"/>
      <c r="AP392" s="23"/>
      <c r="AQ392" s="23" t="str">
        <f>TEXT(0.5,"#,##0.#######")</f>
        <v>0.5</v>
      </c>
      <c r="AR392" s="23"/>
      <c r="AS392" s="23"/>
      <c r="AT392" s="23" t="s">
        <v>257</v>
      </c>
      <c r="AU392" s="23"/>
      <c r="AW392" s="23" t="s">
        <v>103</v>
      </c>
      <c r="AX392" s="23"/>
      <c r="AY392" s="23"/>
      <c r="AZ392" s="23" t="str">
        <f>TEXT(TRUNC(N392/(V392/AG392)*AQ392,1),"#,##0.#")</f>
        <v>1.8</v>
      </c>
      <c r="BA392" s="23"/>
      <c r="BB392" s="29"/>
      <c r="BC392" s="29"/>
      <c r="BD392" s="23" t="s">
        <v>251</v>
      </c>
      <c r="BE392" s="29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  <c r="BX392" s="23"/>
      <c r="BY392" s="23"/>
      <c r="BZ392" s="23"/>
      <c r="CA392" s="23"/>
      <c r="CB392" s="23"/>
      <c r="CC392" s="23"/>
      <c r="CD392" s="23"/>
      <c r="CE392" s="23"/>
      <c r="CF392" s="23"/>
      <c r="CG392" s="23"/>
      <c r="CH392" s="27"/>
      <c r="CI392" s="27"/>
      <c r="CJ392" s="28"/>
      <c r="CK392" s="28" t="str">
        <f>AQ392</f>
        <v>0.5</v>
      </c>
      <c r="CL392" s="39"/>
    </row>
    <row r="393" spans="2:90" ht="17.649999999999999" customHeight="1" x14ac:dyDescent="0.25">
      <c r="B393" s="22"/>
      <c r="C393" s="23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  <c r="BA393" s="29"/>
      <c r="BB393" s="29"/>
      <c r="BC393" s="29"/>
      <c r="BD393" s="29"/>
      <c r="BE393" s="29"/>
      <c r="BF393" s="29"/>
      <c r="BG393" s="29"/>
      <c r="BH393" s="29"/>
      <c r="BI393" s="29"/>
      <c r="BJ393" s="29"/>
      <c r="BK393" s="29"/>
      <c r="BL393" s="29"/>
      <c r="BM393" s="29"/>
      <c r="BN393" s="29"/>
      <c r="BO393" s="29"/>
      <c r="BP393" s="29"/>
      <c r="BQ393" s="29"/>
      <c r="BR393" s="29"/>
      <c r="BS393" s="29"/>
      <c r="BT393" s="29"/>
      <c r="BU393" s="29"/>
      <c r="BV393" s="29"/>
      <c r="BW393" s="29"/>
      <c r="BX393" s="29"/>
      <c r="BY393" s="29"/>
      <c r="BZ393" s="29"/>
      <c r="CA393" s="29"/>
      <c r="CB393" s="29"/>
      <c r="CC393" s="29"/>
      <c r="CD393" s="29"/>
      <c r="CE393" s="29"/>
      <c r="CF393" s="29"/>
      <c r="CG393" s="29"/>
      <c r="CH393" s="24"/>
      <c r="CI393" s="24"/>
      <c r="CJ393" s="25"/>
      <c r="CK393" s="25"/>
      <c r="CL393" s="56"/>
    </row>
    <row r="394" spans="2:90" ht="17.649999999999999" customHeight="1" x14ac:dyDescent="0.25">
      <c r="B394" s="22"/>
      <c r="C394" s="23"/>
      <c r="D394" s="29"/>
      <c r="E394" s="29"/>
      <c r="F394" s="29"/>
      <c r="G394" s="23" t="s">
        <v>120</v>
      </c>
      <c r="H394" s="23"/>
      <c r="I394" s="23"/>
      <c r="J394" s="23"/>
      <c r="K394" s="23"/>
      <c r="L394" s="23"/>
      <c r="M394" s="23"/>
      <c r="N394" s="23" t="s">
        <v>121</v>
      </c>
      <c r="O394" s="23"/>
      <c r="P394" s="23" t="str">
        <f>AS378</f>
        <v>332.1</v>
      </c>
      <c r="Q394" s="23"/>
      <c r="R394" s="23"/>
      <c r="S394" s="23"/>
      <c r="T394" s="23"/>
      <c r="U394" s="23"/>
      <c r="V394" s="23"/>
      <c r="W394" s="23" t="s">
        <v>97</v>
      </c>
      <c r="X394" s="23"/>
      <c r="Y394" s="23" t="str">
        <f>AS379</f>
        <v>276.5</v>
      </c>
      <c r="Z394" s="23"/>
      <c r="AA394" s="23"/>
      <c r="AB394" s="23"/>
      <c r="AC394" s="23"/>
      <c r="AD394" s="23"/>
      <c r="AE394" s="23" t="s">
        <v>97</v>
      </c>
      <c r="AF394" s="23"/>
      <c r="AG394" s="23" t="str">
        <f>AQ383</f>
        <v>463.1</v>
      </c>
      <c r="AH394" s="23"/>
      <c r="AI394" s="23"/>
      <c r="AJ394" s="23"/>
      <c r="AK394" s="23"/>
      <c r="AL394" s="23" t="s">
        <v>97</v>
      </c>
      <c r="AM394" s="23"/>
      <c r="AN394" s="23" t="str">
        <f>AZ390</f>
        <v>231.5</v>
      </c>
      <c r="AO394" s="23"/>
      <c r="AP394" s="23"/>
      <c r="AQ394" s="23"/>
      <c r="AR394" s="29"/>
      <c r="AS394" s="29"/>
      <c r="AT394" s="23" t="s">
        <v>103</v>
      </c>
      <c r="AU394" s="23"/>
      <c r="AV394" s="23" t="str">
        <f>TEXT(TRUNC(P394+Y394+AG394+AN394,1),"#,##0.#")</f>
        <v>1,303.2</v>
      </c>
      <c r="AW394" s="23"/>
      <c r="AX394" s="23"/>
      <c r="AY394" s="23"/>
      <c r="AZ394" s="29"/>
      <c r="BA394" s="29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29"/>
      <c r="BM394" s="29"/>
      <c r="BN394" s="29"/>
      <c r="BO394" s="29"/>
      <c r="BP394" s="29"/>
      <c r="BQ394" s="29"/>
      <c r="BR394" s="29"/>
      <c r="BS394" s="29"/>
      <c r="BT394" s="29"/>
      <c r="BU394" s="29"/>
      <c r="BV394" s="29"/>
      <c r="BW394" s="29"/>
      <c r="BX394" s="29"/>
      <c r="BY394" s="29"/>
      <c r="BZ394" s="29"/>
      <c r="CA394" s="29"/>
      <c r="CB394" s="29"/>
      <c r="CC394" s="29"/>
      <c r="CD394" s="29"/>
      <c r="CE394" s="29"/>
      <c r="CF394" s="29"/>
      <c r="CG394" s="29"/>
      <c r="CH394" s="27"/>
      <c r="CI394" s="27"/>
      <c r="CJ394" s="28"/>
      <c r="CK394" s="28"/>
      <c r="CL394" s="39"/>
    </row>
    <row r="395" spans="2:90" ht="17.649999999999999" customHeight="1" x14ac:dyDescent="0.25">
      <c r="B395" s="22"/>
      <c r="C395" s="23"/>
      <c r="D395" s="23"/>
      <c r="E395" s="23"/>
      <c r="F395" s="23"/>
      <c r="G395" s="23" t="s">
        <v>123</v>
      </c>
      <c r="H395" s="23"/>
      <c r="I395" s="23"/>
      <c r="J395" s="23"/>
      <c r="K395" s="23"/>
      <c r="L395" s="23"/>
      <c r="M395" s="23"/>
      <c r="N395" s="23" t="s">
        <v>121</v>
      </c>
      <c r="O395" s="23"/>
      <c r="P395" s="23" t="str">
        <f>AQ384</f>
        <v>149.9</v>
      </c>
      <c r="Q395" s="23"/>
      <c r="R395" s="23"/>
      <c r="S395" s="23"/>
      <c r="T395" s="23"/>
      <c r="U395" s="23"/>
      <c r="V395" s="23"/>
      <c r="W395" s="23" t="s">
        <v>97</v>
      </c>
      <c r="X395" s="23"/>
      <c r="Y395" s="23" t="str">
        <f>AN387</f>
        <v>410.4</v>
      </c>
      <c r="Z395" s="23"/>
      <c r="AA395" s="23"/>
      <c r="AB395" s="23"/>
      <c r="AC395" s="23"/>
      <c r="AD395" s="23"/>
      <c r="AE395" s="23" t="s">
        <v>97</v>
      </c>
      <c r="AF395" s="23"/>
      <c r="AG395" s="23" t="str">
        <f>AZ391</f>
        <v>17.4</v>
      </c>
      <c r="AH395" s="23"/>
      <c r="AI395" s="23"/>
      <c r="AJ395" s="23"/>
      <c r="AK395" s="23"/>
      <c r="AL395" s="23"/>
      <c r="AM395" s="29"/>
      <c r="AN395" s="29"/>
      <c r="AO395" s="29"/>
      <c r="AP395" s="29"/>
      <c r="AQ395" s="29"/>
      <c r="AR395" s="29"/>
      <c r="AS395" s="23"/>
      <c r="AT395" s="23" t="s">
        <v>103</v>
      </c>
      <c r="AU395" s="23"/>
      <c r="AV395" s="23" t="str">
        <f>TEXT(TRUNC(P395+Y395+AG395+AN395,1),"#,##0.#")</f>
        <v>577.7</v>
      </c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  <c r="BX395" s="23"/>
      <c r="BY395" s="23"/>
      <c r="BZ395" s="23"/>
      <c r="CA395" s="23"/>
      <c r="CB395" s="23"/>
      <c r="CC395" s="23"/>
      <c r="CD395" s="23"/>
      <c r="CE395" s="23"/>
      <c r="CF395" s="23"/>
      <c r="CG395" s="23"/>
      <c r="CH395" s="24"/>
      <c r="CI395" s="24"/>
      <c r="CJ395" s="25"/>
      <c r="CK395" s="25"/>
      <c r="CL395" s="56"/>
    </row>
    <row r="396" spans="2:90" ht="17.649999999999999" customHeight="1" x14ac:dyDescent="0.25">
      <c r="B396" s="22"/>
      <c r="C396" s="23"/>
      <c r="D396" s="23"/>
      <c r="E396" s="23"/>
      <c r="F396" s="23"/>
      <c r="G396" s="23" t="s">
        <v>124</v>
      </c>
      <c r="H396" s="23"/>
      <c r="I396" s="23"/>
      <c r="J396" s="23"/>
      <c r="K396" s="23" t="s">
        <v>125</v>
      </c>
      <c r="L396" s="23"/>
      <c r="M396" s="23"/>
      <c r="N396" s="23" t="s">
        <v>121</v>
      </c>
      <c r="O396" s="23"/>
      <c r="P396" s="23" t="str">
        <f>AQ385</f>
        <v>28.3</v>
      </c>
      <c r="Q396" s="23"/>
      <c r="R396" s="23"/>
      <c r="S396" s="23"/>
      <c r="T396" s="23"/>
      <c r="U396" s="23"/>
      <c r="V396" s="23"/>
      <c r="W396" s="23" t="s">
        <v>97</v>
      </c>
      <c r="X396" s="23"/>
      <c r="Y396" s="23" t="str">
        <f>AZ392</f>
        <v>1.8</v>
      </c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9"/>
      <c r="AN396" s="29"/>
      <c r="AO396" s="29"/>
      <c r="AP396" s="29"/>
      <c r="AQ396" s="29"/>
      <c r="AR396" s="29"/>
      <c r="AS396" s="23"/>
      <c r="AT396" s="23" t="s">
        <v>103</v>
      </c>
      <c r="AU396" s="23"/>
      <c r="AV396" s="23" t="str">
        <f>TEXT(TRUNC(P396+Y396+AG396+AN396,1),"#,##0.#")</f>
        <v>30.1</v>
      </c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  <c r="BU396" s="23"/>
      <c r="BV396" s="23"/>
      <c r="BW396" s="23"/>
      <c r="BX396" s="23"/>
      <c r="BY396" s="23"/>
      <c r="BZ396" s="23"/>
      <c r="CA396" s="23"/>
      <c r="CB396" s="23"/>
      <c r="CC396" s="23"/>
      <c r="CD396" s="23"/>
      <c r="CE396" s="23"/>
      <c r="CF396" s="23"/>
      <c r="CG396" s="23"/>
      <c r="CH396" s="27"/>
      <c r="CI396" s="27"/>
      <c r="CJ396" s="28"/>
      <c r="CK396" s="28"/>
      <c r="CL396" s="39"/>
    </row>
    <row r="397" spans="2:90" ht="17.649999999999999" customHeight="1" x14ac:dyDescent="0.25">
      <c r="B397" s="22"/>
      <c r="C397" s="23"/>
      <c r="D397" s="23"/>
      <c r="E397" s="23"/>
      <c r="F397" s="23"/>
      <c r="G397" s="23" t="s">
        <v>126</v>
      </c>
      <c r="H397" s="23"/>
      <c r="I397" s="23"/>
      <c r="J397" s="23"/>
      <c r="K397" s="23" t="s">
        <v>127</v>
      </c>
      <c r="L397" s="23"/>
      <c r="M397" s="23"/>
      <c r="N397" s="23" t="s">
        <v>121</v>
      </c>
      <c r="O397" s="23"/>
      <c r="P397" s="23" t="str">
        <f>TEXT(AV394+AV395+AV396,"#,##0.#######")</f>
        <v>1,911.</v>
      </c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  <c r="BU397" s="23"/>
      <c r="BV397" s="23"/>
      <c r="BW397" s="23"/>
      <c r="BX397" s="23"/>
      <c r="BY397" s="23"/>
      <c r="BZ397" s="23"/>
      <c r="CA397" s="23"/>
      <c r="CB397" s="23"/>
      <c r="CC397" s="23"/>
      <c r="CD397" s="23"/>
      <c r="CE397" s="23"/>
      <c r="CF397" s="23"/>
      <c r="CG397" s="23"/>
      <c r="CH397" s="27">
        <f>CI397+CJ397+CK397</f>
        <v>1911</v>
      </c>
      <c r="CI397" s="27" t="str">
        <f>AV394</f>
        <v>1,303.2</v>
      </c>
      <c r="CJ397" s="28" t="str">
        <f>AV395</f>
        <v>577.7</v>
      </c>
      <c r="CK397" s="28" t="str">
        <f>AV396</f>
        <v>30.1</v>
      </c>
      <c r="CL397" s="39"/>
    </row>
    <row r="398" spans="2:90" ht="17.649999999999999" customHeight="1" x14ac:dyDescent="0.25">
      <c r="B398" s="22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  <c r="BU398" s="23"/>
      <c r="BV398" s="23"/>
      <c r="BW398" s="23"/>
      <c r="BX398" s="23"/>
      <c r="BY398" s="23"/>
      <c r="BZ398" s="23"/>
      <c r="CA398" s="23"/>
      <c r="CB398" s="23"/>
      <c r="CC398" s="23"/>
      <c r="CD398" s="23"/>
      <c r="CE398" s="23"/>
      <c r="CF398" s="23"/>
      <c r="CG398" s="23"/>
      <c r="CH398" s="27"/>
      <c r="CI398" s="27"/>
      <c r="CJ398" s="28"/>
      <c r="CK398" s="28"/>
      <c r="CL398" s="39"/>
    </row>
    <row r="399" spans="2:90" ht="17.649999999999999" customHeight="1" x14ac:dyDescent="0.25">
      <c r="B399" s="46" t="s">
        <v>259</v>
      </c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47"/>
      <c r="AD399" s="47"/>
      <c r="AE399" s="47"/>
      <c r="AF399" s="47"/>
      <c r="AG399" s="47"/>
      <c r="AH399" s="47"/>
      <c r="AI399" s="47"/>
      <c r="AJ399" s="47"/>
      <c r="AK399" s="47"/>
      <c r="AL399" s="47"/>
      <c r="AM399" s="47"/>
      <c r="AN399" s="47"/>
      <c r="AO399" s="47"/>
      <c r="AP399" s="47"/>
      <c r="AQ399" s="47"/>
      <c r="AR399" s="47"/>
      <c r="AS399" s="47"/>
      <c r="AT399" s="47"/>
      <c r="AU399" s="47"/>
      <c r="AV399" s="47"/>
      <c r="AW399" s="47"/>
      <c r="AX399" s="47"/>
      <c r="AY399" s="47"/>
      <c r="AZ399" s="47"/>
      <c r="BA399" s="47"/>
      <c r="BB399" s="47"/>
      <c r="BC399" s="47"/>
      <c r="BD399" s="47"/>
      <c r="BE399" s="47"/>
      <c r="BF399" s="47"/>
      <c r="BG399" s="47"/>
      <c r="BH399" s="47"/>
      <c r="BI399" s="47"/>
      <c r="BJ399" s="47"/>
      <c r="BK399" s="47"/>
      <c r="BL399" s="47"/>
      <c r="BM399" s="47"/>
      <c r="BN399" s="47"/>
      <c r="BO399" s="47"/>
      <c r="BP399" s="47"/>
      <c r="BQ399" s="47"/>
      <c r="BR399" s="47"/>
      <c r="BS399" s="47"/>
      <c r="BT399" s="47"/>
      <c r="BU399" s="47"/>
      <c r="BV399" s="47"/>
      <c r="BW399" s="47"/>
      <c r="BX399" s="47"/>
      <c r="BY399" s="47"/>
      <c r="BZ399" s="47"/>
      <c r="CA399" s="47"/>
      <c r="CB399" s="47"/>
      <c r="CC399" s="47"/>
      <c r="CD399" s="47"/>
      <c r="CE399" s="47"/>
      <c r="CF399" s="47"/>
      <c r="CG399" s="47"/>
      <c r="CH399" s="48">
        <f>TRUNC(CI399+CJ399+CK399,0)</f>
        <v>5594</v>
      </c>
      <c r="CI399" s="48">
        <f>TRUNC(CI408,0)</f>
        <v>3637</v>
      </c>
      <c r="CJ399" s="49">
        <f>TRUNC(CJ409,0)</f>
        <v>742</v>
      </c>
      <c r="CK399" s="49">
        <f>TRUNC(CK410,0)</f>
        <v>1215</v>
      </c>
      <c r="CL399" s="97">
        <v>823</v>
      </c>
    </row>
    <row r="400" spans="2:90" ht="17.649999999999999" customHeight="1" x14ac:dyDescent="0.25">
      <c r="B400" s="26"/>
      <c r="C400" s="23"/>
      <c r="D400" s="23" t="s">
        <v>94</v>
      </c>
      <c r="E400" s="23"/>
      <c r="F400" s="23"/>
      <c r="G400" s="23" t="s">
        <v>151</v>
      </c>
      <c r="H400" s="23"/>
      <c r="I400" s="23"/>
      <c r="J400" s="23"/>
      <c r="K400" s="23"/>
      <c r="L400" s="23"/>
      <c r="M400" s="23" t="s">
        <v>121</v>
      </c>
      <c r="N400" s="23"/>
      <c r="O400" s="23" t="s">
        <v>152</v>
      </c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 t="s">
        <v>153</v>
      </c>
      <c r="AB400" s="23"/>
      <c r="AC400" s="23"/>
      <c r="AD400" s="23"/>
      <c r="AE400" s="23"/>
      <c r="AF400" s="23"/>
      <c r="AG400" s="23"/>
      <c r="AH400" s="23" t="s">
        <v>154</v>
      </c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  <c r="BU400" s="23"/>
      <c r="BV400" s="23"/>
      <c r="BW400" s="23"/>
      <c r="BX400" s="23"/>
      <c r="BY400" s="23"/>
      <c r="BZ400" s="23"/>
      <c r="CA400" s="23"/>
      <c r="CB400" s="23"/>
      <c r="CC400" s="23"/>
      <c r="CD400" s="23"/>
      <c r="CE400" s="23"/>
      <c r="CF400" s="23"/>
      <c r="CG400" s="23"/>
      <c r="CH400" s="27"/>
      <c r="CI400" s="27"/>
      <c r="CJ400" s="28"/>
      <c r="CK400" s="28"/>
      <c r="CL400" s="39" t="s">
        <v>155</v>
      </c>
    </row>
    <row r="401" spans="2:90" ht="17.649999999999999" customHeight="1" x14ac:dyDescent="0.25">
      <c r="B401" s="26"/>
      <c r="C401" s="23"/>
      <c r="D401" s="23"/>
      <c r="E401" s="23"/>
      <c r="F401" s="23"/>
      <c r="G401" s="23" t="s">
        <v>112</v>
      </c>
      <c r="H401" s="23"/>
      <c r="I401" s="23" t="s">
        <v>103</v>
      </c>
      <c r="J401" s="23"/>
      <c r="K401" s="23" t="str">
        <f>TEXT(0.18,"#,##0.#######")</f>
        <v>0.18</v>
      </c>
      <c r="L401" s="23"/>
      <c r="M401" s="23"/>
      <c r="N401" s="23"/>
      <c r="O401" s="23"/>
      <c r="P401" s="23"/>
      <c r="Q401" s="23" t="s">
        <v>114</v>
      </c>
      <c r="R401" s="23"/>
      <c r="S401" s="23" t="s">
        <v>103</v>
      </c>
      <c r="T401" s="23"/>
      <c r="U401" s="23" t="str">
        <f>TEXT(1,"#,##0.#######")</f>
        <v>1.</v>
      </c>
      <c r="V401" s="23"/>
      <c r="W401" s="23" t="s">
        <v>122</v>
      </c>
      <c r="X401" s="23"/>
      <c r="Y401" s="23" t="str">
        <f>TEXT(1.35,"#,##0.#######")</f>
        <v>1.35</v>
      </c>
      <c r="Z401" s="23"/>
      <c r="AA401" s="23"/>
      <c r="AB401" s="29" t="s">
        <v>103</v>
      </c>
      <c r="AC401" s="29"/>
      <c r="AD401" s="23" t="str">
        <f>TEXT(U401/Y401,"#,##0.##")</f>
        <v>0.74</v>
      </c>
      <c r="AE401" s="29"/>
      <c r="AF401" s="29"/>
      <c r="AG401" s="29"/>
      <c r="AH401" s="29"/>
      <c r="AI401" s="23" t="s">
        <v>113</v>
      </c>
      <c r="AJ401" s="23"/>
      <c r="AK401" s="23" t="s">
        <v>103</v>
      </c>
      <c r="AL401" s="23"/>
      <c r="AM401" s="23" t="str">
        <f>TEXT(0.7,"#,##0.#######")</f>
        <v>0.7</v>
      </c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  <c r="BU401" s="23"/>
      <c r="BV401" s="23"/>
      <c r="BW401" s="23"/>
      <c r="BX401" s="23"/>
      <c r="BY401" s="23"/>
      <c r="BZ401" s="23"/>
      <c r="CA401" s="23"/>
      <c r="CB401" s="23"/>
      <c r="CC401" s="23"/>
      <c r="CD401" s="23"/>
      <c r="CE401" s="23"/>
      <c r="CF401" s="23"/>
      <c r="CG401" s="23"/>
      <c r="CH401" s="27"/>
      <c r="CI401" s="27"/>
      <c r="CJ401" s="28"/>
      <c r="CK401" s="28"/>
      <c r="CL401" s="39"/>
    </row>
    <row r="402" spans="2:90" ht="17.649999999999999" customHeight="1" x14ac:dyDescent="0.25">
      <c r="B402" s="26"/>
      <c r="C402" s="23"/>
      <c r="D402" s="23"/>
      <c r="E402" s="23"/>
      <c r="F402" s="23"/>
      <c r="G402" s="23" t="s">
        <v>107</v>
      </c>
      <c r="H402" s="23"/>
      <c r="I402" s="23" t="s">
        <v>103</v>
      </c>
      <c r="J402" s="23"/>
      <c r="K402" s="23" t="str">
        <f>TEXT(0.45,"#,##0.#######")</f>
        <v>0.45</v>
      </c>
      <c r="L402" s="23"/>
      <c r="M402" s="23"/>
      <c r="N402" s="23"/>
      <c r="O402" s="23"/>
      <c r="P402" s="23"/>
      <c r="Q402" s="23"/>
      <c r="R402" s="23"/>
      <c r="S402" s="23" t="s">
        <v>108</v>
      </c>
      <c r="T402" s="23"/>
      <c r="U402" s="23"/>
      <c r="V402" s="23" t="s">
        <v>103</v>
      </c>
      <c r="W402" s="23"/>
      <c r="X402" s="23" t="str">
        <f>TEXT(13,"#,##0.#######")</f>
        <v>13.</v>
      </c>
      <c r="Y402" s="23"/>
      <c r="Z402" s="23"/>
      <c r="AA402" s="23" t="s">
        <v>109</v>
      </c>
      <c r="AB402" s="23"/>
      <c r="AC402" s="23"/>
      <c r="AD402" s="23"/>
      <c r="AE402" s="23" t="s">
        <v>96</v>
      </c>
      <c r="AF402" s="23" t="str">
        <f>TEXT(45,"#,##0.#######")</f>
        <v>45.</v>
      </c>
      <c r="AG402" s="23"/>
      <c r="AH402" s="23" t="s">
        <v>110</v>
      </c>
      <c r="AI402" s="23"/>
      <c r="AJ402" s="23" t="s">
        <v>101</v>
      </c>
      <c r="AK402" s="23" t="s">
        <v>111</v>
      </c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  <c r="BU402" s="23"/>
      <c r="BV402" s="23"/>
      <c r="BW402" s="23"/>
      <c r="BX402" s="23"/>
      <c r="BY402" s="23"/>
      <c r="BZ402" s="23"/>
      <c r="CA402" s="23"/>
      <c r="CB402" s="23"/>
      <c r="CC402" s="23"/>
      <c r="CD402" s="23"/>
      <c r="CE402" s="23"/>
      <c r="CF402" s="23"/>
      <c r="CG402" s="23"/>
      <c r="CH402" s="27"/>
      <c r="CI402" s="27"/>
      <c r="CJ402" s="28"/>
      <c r="CK402" s="28"/>
      <c r="CL402" s="39"/>
    </row>
    <row r="403" spans="2:90" ht="17.649999999999999" customHeight="1" x14ac:dyDescent="0.25">
      <c r="B403" s="26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  <c r="BU403" s="23"/>
      <c r="BV403" s="23"/>
      <c r="BW403" s="23"/>
      <c r="BX403" s="23"/>
      <c r="BY403" s="23"/>
      <c r="BZ403" s="23"/>
      <c r="CA403" s="23"/>
      <c r="CB403" s="23"/>
      <c r="CC403" s="23"/>
      <c r="CD403" s="23"/>
      <c r="CE403" s="23"/>
      <c r="CF403" s="23"/>
      <c r="CG403" s="23"/>
      <c r="CH403" s="27"/>
      <c r="CI403" s="27"/>
      <c r="CJ403" s="28"/>
      <c r="CK403" s="28"/>
      <c r="CL403" s="39"/>
    </row>
    <row r="404" spans="2:90" ht="17.649999999999999" customHeight="1" x14ac:dyDescent="0.25">
      <c r="B404" s="26"/>
      <c r="C404" s="23"/>
      <c r="D404" s="23"/>
      <c r="E404" s="23"/>
      <c r="F404" s="23"/>
      <c r="G404" s="23"/>
      <c r="H404" s="23"/>
      <c r="I404" s="23"/>
      <c r="J404" s="23"/>
      <c r="K404" s="23"/>
      <c r="L404" s="23" t="str">
        <f>TEXT(3600,"#,##0.#######")</f>
        <v>3,600.</v>
      </c>
      <c r="M404" s="23"/>
      <c r="N404" s="23"/>
      <c r="O404" s="23"/>
      <c r="P404" s="23"/>
      <c r="Q404" s="23" t="s">
        <v>102</v>
      </c>
      <c r="R404" s="23"/>
      <c r="S404" s="23" t="s">
        <v>112</v>
      </c>
      <c r="T404" s="23" t="s">
        <v>102</v>
      </c>
      <c r="U404" s="23"/>
      <c r="V404" s="23" t="s">
        <v>113</v>
      </c>
      <c r="W404" s="23" t="s">
        <v>102</v>
      </c>
      <c r="X404" s="23"/>
      <c r="Y404" s="23" t="s">
        <v>114</v>
      </c>
      <c r="Z404" s="23" t="s">
        <v>102</v>
      </c>
      <c r="AA404" s="23"/>
      <c r="AB404" s="23" t="s">
        <v>107</v>
      </c>
      <c r="AC404" s="23"/>
      <c r="AD404" s="23"/>
      <c r="AE404" s="23"/>
      <c r="AF404" s="23"/>
      <c r="AG404" s="23"/>
      <c r="AH404" s="23"/>
      <c r="AI404" s="23" t="str">
        <f>TEXT(L404,"#,##0.#######")</f>
        <v>3,600.</v>
      </c>
      <c r="AJ404" s="23"/>
      <c r="AK404" s="23"/>
      <c r="AL404" s="23"/>
      <c r="AM404" s="23"/>
      <c r="AN404" s="23" t="s">
        <v>102</v>
      </c>
      <c r="AO404" s="23"/>
      <c r="AP404" s="23" t="str">
        <f>TEXT(K401,"#,##0.#######")</f>
        <v>0.18</v>
      </c>
      <c r="AQ404" s="23"/>
      <c r="AR404" s="23"/>
      <c r="AS404" s="23" t="s">
        <v>102</v>
      </c>
      <c r="AT404" s="23"/>
      <c r="AU404" s="23" t="str">
        <f>TEXT(AM401,"#,##0.#######")</f>
        <v>0.7</v>
      </c>
      <c r="AV404" s="23"/>
      <c r="AW404" s="23"/>
      <c r="AX404" s="23" t="s">
        <v>102</v>
      </c>
      <c r="AY404" s="23"/>
      <c r="AZ404" s="23" t="str">
        <f>TEXT(AD401,"#,##0.#######")</f>
        <v>0.74</v>
      </c>
      <c r="BA404" s="29"/>
      <c r="BB404" s="29"/>
      <c r="BC404" s="23" t="s">
        <v>102</v>
      </c>
      <c r="BD404" s="23"/>
      <c r="BE404" s="23" t="str">
        <f>TEXT(K402,"#,##0.#######")</f>
        <v>0.45</v>
      </c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  <c r="BX404" s="23"/>
      <c r="BY404" s="23"/>
      <c r="BZ404" s="23"/>
      <c r="CA404" s="23"/>
      <c r="CB404" s="23"/>
      <c r="CC404" s="23"/>
      <c r="CD404" s="23"/>
      <c r="CE404" s="23"/>
      <c r="CF404" s="23"/>
      <c r="CG404" s="23"/>
      <c r="CH404" s="27"/>
      <c r="CI404" s="27"/>
      <c r="CJ404" s="28"/>
      <c r="CK404" s="28"/>
      <c r="CL404" s="39"/>
    </row>
    <row r="405" spans="2:90" ht="17.649999999999999" customHeight="1" x14ac:dyDescent="0.25">
      <c r="B405" s="26"/>
      <c r="C405" s="23"/>
      <c r="D405" s="23"/>
      <c r="E405" s="23"/>
      <c r="F405" s="23"/>
      <c r="G405" s="23" t="s">
        <v>115</v>
      </c>
      <c r="H405" s="23"/>
      <c r="I405" s="23" t="s">
        <v>103</v>
      </c>
      <c r="J405" s="23"/>
      <c r="K405" s="23" t="s">
        <v>116</v>
      </c>
      <c r="L405" s="23"/>
      <c r="M405" s="23" t="s">
        <v>116</v>
      </c>
      <c r="N405" s="23"/>
      <c r="O405" s="23" t="s">
        <v>116</v>
      </c>
      <c r="P405" s="23"/>
      <c r="Q405" s="23" t="s">
        <v>116</v>
      </c>
      <c r="R405" s="23"/>
      <c r="S405" s="23" t="s">
        <v>116</v>
      </c>
      <c r="T405" s="23"/>
      <c r="U405" s="23" t="s">
        <v>116</v>
      </c>
      <c r="V405" s="23"/>
      <c r="W405" s="23" t="s">
        <v>116</v>
      </c>
      <c r="X405" s="23"/>
      <c r="Y405" s="23" t="s">
        <v>116</v>
      </c>
      <c r="Z405" s="23"/>
      <c r="AA405" s="23" t="s">
        <v>116</v>
      </c>
      <c r="AB405" s="23"/>
      <c r="AC405" s="23" t="s">
        <v>116</v>
      </c>
      <c r="AD405" s="23"/>
      <c r="AE405" s="23"/>
      <c r="AF405" s="23" t="s">
        <v>103</v>
      </c>
      <c r="AG405" s="23"/>
      <c r="AH405" s="23" t="s">
        <v>116</v>
      </c>
      <c r="AI405" s="23"/>
      <c r="AJ405" s="23" t="s">
        <v>116</v>
      </c>
      <c r="AK405" s="23"/>
      <c r="AL405" s="23" t="s">
        <v>116</v>
      </c>
      <c r="AM405" s="23"/>
      <c r="AN405" s="23" t="s">
        <v>116</v>
      </c>
      <c r="AO405" s="23"/>
      <c r="AP405" s="23" t="s">
        <v>116</v>
      </c>
      <c r="AQ405" s="23"/>
      <c r="AR405" s="23" t="s">
        <v>116</v>
      </c>
      <c r="AS405" s="23"/>
      <c r="AT405" s="23" t="s">
        <v>116</v>
      </c>
      <c r="AU405" s="23"/>
      <c r="AV405" s="23" t="s">
        <v>116</v>
      </c>
      <c r="AW405" s="23"/>
      <c r="AX405" s="23" t="s">
        <v>116</v>
      </c>
      <c r="AY405" s="23"/>
      <c r="AZ405" s="23" t="s">
        <v>116</v>
      </c>
      <c r="BA405" s="23"/>
      <c r="BB405" s="23" t="s">
        <v>116</v>
      </c>
      <c r="BC405" s="23"/>
      <c r="BD405" s="23" t="s">
        <v>116</v>
      </c>
      <c r="BE405" s="23"/>
      <c r="BF405" s="23" t="s">
        <v>116</v>
      </c>
      <c r="BG405" s="23"/>
      <c r="BH405" s="23"/>
      <c r="BI405" s="23" t="s">
        <v>103</v>
      </c>
      <c r="BJ405" s="23"/>
      <c r="BK405" s="23" t="str">
        <f>TEXT(ROUND((3600*K401*AM401*AD401*K402)/(X402),2),"#,##0.#######")</f>
        <v>11.62</v>
      </c>
      <c r="BL405" s="23"/>
      <c r="BM405" s="23"/>
      <c r="BN405" s="23"/>
      <c r="BO405" s="23"/>
      <c r="BP405" s="23"/>
      <c r="BQ405" s="23"/>
      <c r="BR405" s="23" t="s">
        <v>117</v>
      </c>
      <c r="BS405" s="23"/>
      <c r="BT405" s="23" t="s">
        <v>118</v>
      </c>
      <c r="BU405" s="23" t="s">
        <v>119</v>
      </c>
      <c r="BV405" s="23"/>
      <c r="BW405" s="23"/>
      <c r="BX405" s="23"/>
      <c r="BY405" s="23"/>
      <c r="BZ405" s="23"/>
      <c r="CA405" s="23"/>
      <c r="CB405" s="23"/>
      <c r="CC405" s="23"/>
      <c r="CD405" s="23"/>
      <c r="CE405" s="23"/>
      <c r="CF405" s="23"/>
      <c r="CG405" s="23"/>
      <c r="CH405" s="27"/>
      <c r="CI405" s="27"/>
      <c r="CJ405" s="28"/>
      <c r="CK405" s="28"/>
      <c r="CL405" s="39"/>
    </row>
    <row r="406" spans="2:90" ht="17.649999999999999" customHeight="1" x14ac:dyDescent="0.25">
      <c r="B406" s="26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 t="s">
        <v>108</v>
      </c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 t="str">
        <f>TEXT(X402,"#,##0.#######")</f>
        <v>13.</v>
      </c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  <c r="BX406" s="23"/>
      <c r="BY406" s="23"/>
      <c r="BZ406" s="23"/>
      <c r="CA406" s="23"/>
      <c r="CB406" s="23"/>
      <c r="CC406" s="23"/>
      <c r="CD406" s="23"/>
      <c r="CE406" s="23"/>
      <c r="CF406" s="23"/>
      <c r="CG406" s="23"/>
      <c r="CH406" s="27"/>
      <c r="CI406" s="27"/>
      <c r="CJ406" s="28"/>
      <c r="CK406" s="28"/>
      <c r="CL406" s="39"/>
    </row>
    <row r="407" spans="2:90" ht="17.649999999999999" customHeight="1" x14ac:dyDescent="0.25">
      <c r="B407" s="26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  <c r="BX407" s="23"/>
      <c r="BY407" s="23"/>
      <c r="BZ407" s="23"/>
      <c r="CA407" s="23"/>
      <c r="CB407" s="23"/>
      <c r="CC407" s="23"/>
      <c r="CD407" s="23"/>
      <c r="CE407" s="23"/>
      <c r="CF407" s="23"/>
      <c r="CG407" s="23"/>
      <c r="CH407" s="27"/>
      <c r="CI407" s="27"/>
      <c r="CJ407" s="28"/>
      <c r="CK407" s="28"/>
      <c r="CL407" s="39"/>
    </row>
    <row r="408" spans="2:90" ht="17.649999999999999" customHeight="1" x14ac:dyDescent="0.25">
      <c r="B408" s="26"/>
      <c r="C408" s="23"/>
      <c r="D408" s="23"/>
      <c r="E408" s="23"/>
      <c r="F408" s="23"/>
      <c r="G408" s="23" t="s">
        <v>120</v>
      </c>
      <c r="H408" s="23"/>
      <c r="I408" s="23"/>
      <c r="J408" s="23"/>
      <c r="K408" s="23"/>
      <c r="L408" s="23"/>
      <c r="M408" s="23"/>
      <c r="N408" s="23" t="s">
        <v>121</v>
      </c>
      <c r="O408" s="23"/>
      <c r="P408" s="23" t="str">
        <f>TEXT([1]기계경비총괄표!G4,"#,##0.#######")</f>
        <v>42,267.</v>
      </c>
      <c r="Q408" s="23"/>
      <c r="R408" s="23"/>
      <c r="S408" s="23"/>
      <c r="T408" s="23"/>
      <c r="U408" s="23"/>
      <c r="V408" s="23"/>
      <c r="W408" s="23"/>
      <c r="X408" s="23"/>
      <c r="Y408" s="23" t="s">
        <v>122</v>
      </c>
      <c r="Z408" s="23"/>
      <c r="AA408" s="23"/>
      <c r="AB408" s="23" t="str">
        <f>TEXT(BK405,"#,##0.#######")</f>
        <v>11.62</v>
      </c>
      <c r="AC408" s="23"/>
      <c r="AD408" s="23"/>
      <c r="AE408" s="23"/>
      <c r="AF408" s="23"/>
      <c r="AG408" s="23" t="s">
        <v>103</v>
      </c>
      <c r="AH408" s="23"/>
      <c r="AI408" s="23" t="str">
        <f>TEXT(TRUNC(P408/BK405,1),"#,##0.#")</f>
        <v>3,637.4</v>
      </c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  <c r="BX408" s="23"/>
      <c r="BY408" s="23"/>
      <c r="BZ408" s="23"/>
      <c r="CA408" s="23"/>
      <c r="CB408" s="23"/>
      <c r="CC408" s="23"/>
      <c r="CD408" s="23"/>
      <c r="CE408" s="23"/>
      <c r="CF408" s="23"/>
      <c r="CG408" s="23"/>
      <c r="CH408" s="27"/>
      <c r="CI408" s="27" t="str">
        <f>AI408</f>
        <v>3,637.4</v>
      </c>
      <c r="CJ408" s="28"/>
      <c r="CK408" s="28"/>
      <c r="CL408" s="39"/>
    </row>
    <row r="409" spans="2:90" ht="17.649999999999999" customHeight="1" x14ac:dyDescent="0.25">
      <c r="B409" s="26"/>
      <c r="C409" s="23"/>
      <c r="D409" s="23"/>
      <c r="E409" s="23"/>
      <c r="F409" s="23"/>
      <c r="G409" s="23" t="s">
        <v>123</v>
      </c>
      <c r="H409" s="23"/>
      <c r="I409" s="23"/>
      <c r="J409" s="23"/>
      <c r="K409" s="23"/>
      <c r="L409" s="23"/>
      <c r="M409" s="23"/>
      <c r="N409" s="23" t="s">
        <v>121</v>
      </c>
      <c r="O409" s="23"/>
      <c r="P409" s="23" t="str">
        <f>TEXT([1]기계경비총괄표!F4,"#,##0.#######")</f>
        <v>8,631.3</v>
      </c>
      <c r="Q409" s="23"/>
      <c r="R409" s="23"/>
      <c r="S409" s="23"/>
      <c r="T409" s="23"/>
      <c r="U409" s="23"/>
      <c r="V409" s="23"/>
      <c r="W409" s="23"/>
      <c r="X409" s="23"/>
      <c r="Y409" s="23" t="s">
        <v>122</v>
      </c>
      <c r="Z409" s="23"/>
      <c r="AA409" s="23"/>
      <c r="AB409" s="23" t="str">
        <f>TEXT(BK405,"#,##0.#######")</f>
        <v>11.62</v>
      </c>
      <c r="AC409" s="23"/>
      <c r="AD409" s="23"/>
      <c r="AE409" s="23"/>
      <c r="AF409" s="23"/>
      <c r="AG409" s="23" t="s">
        <v>103</v>
      </c>
      <c r="AH409" s="23"/>
      <c r="AI409" s="23" t="str">
        <f>TEXT(TRUNC(P409/BK405,1),"#,##0.#")</f>
        <v>742.7</v>
      </c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  <c r="BX409" s="23"/>
      <c r="BY409" s="23"/>
      <c r="BZ409" s="23"/>
      <c r="CA409" s="23"/>
      <c r="CB409" s="23"/>
      <c r="CC409" s="23"/>
      <c r="CD409" s="23"/>
      <c r="CE409" s="23"/>
      <c r="CF409" s="23"/>
      <c r="CG409" s="23"/>
      <c r="CH409" s="27"/>
      <c r="CI409" s="27"/>
      <c r="CJ409" s="28" t="str">
        <f>AI409</f>
        <v>742.7</v>
      </c>
      <c r="CK409" s="28"/>
      <c r="CL409" s="39"/>
    </row>
    <row r="410" spans="2:90" ht="17.649999999999999" customHeight="1" x14ac:dyDescent="0.25">
      <c r="B410" s="26"/>
      <c r="C410" s="23"/>
      <c r="D410" s="23"/>
      <c r="E410" s="23"/>
      <c r="F410" s="23"/>
      <c r="G410" s="23" t="s">
        <v>124</v>
      </c>
      <c r="H410" s="23"/>
      <c r="I410" s="23"/>
      <c r="J410" s="23"/>
      <c r="K410" s="23" t="s">
        <v>125</v>
      </c>
      <c r="L410" s="23"/>
      <c r="M410" s="23"/>
      <c r="N410" s="23" t="s">
        <v>121</v>
      </c>
      <c r="O410" s="23"/>
      <c r="P410" s="23" t="str">
        <f>TEXT([1]기계경비총괄표!H4,"#,##0.#######")</f>
        <v>14,129.8</v>
      </c>
      <c r="Q410" s="23"/>
      <c r="R410" s="23"/>
      <c r="S410" s="23"/>
      <c r="T410" s="23"/>
      <c r="U410" s="23"/>
      <c r="V410" s="23"/>
      <c r="W410" s="23"/>
      <c r="X410" s="23"/>
      <c r="Y410" s="23" t="s">
        <v>122</v>
      </c>
      <c r="Z410" s="23"/>
      <c r="AA410" s="23"/>
      <c r="AB410" s="23" t="str">
        <f>TEXT(BK405,"#,##0.#######")</f>
        <v>11.62</v>
      </c>
      <c r="AC410" s="23"/>
      <c r="AD410" s="23"/>
      <c r="AE410" s="23"/>
      <c r="AF410" s="23"/>
      <c r="AG410" s="23" t="s">
        <v>103</v>
      </c>
      <c r="AH410" s="23"/>
      <c r="AI410" s="23" t="str">
        <f>TEXT(TRUNC(P410/BK405,1),"#,##0.#")</f>
        <v>1,215.9</v>
      </c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  <c r="BX410" s="23"/>
      <c r="BY410" s="23"/>
      <c r="BZ410" s="23"/>
      <c r="CA410" s="23"/>
      <c r="CB410" s="23"/>
      <c r="CC410" s="23"/>
      <c r="CD410" s="23"/>
      <c r="CE410" s="23"/>
      <c r="CF410" s="23"/>
      <c r="CG410" s="23"/>
      <c r="CH410" s="27"/>
      <c r="CI410" s="27"/>
      <c r="CJ410" s="28"/>
      <c r="CK410" s="28" t="str">
        <f>AI410</f>
        <v>1,215.9</v>
      </c>
      <c r="CL410" s="39"/>
    </row>
    <row r="411" spans="2:90" ht="17.649999999999999" customHeight="1" x14ac:dyDescent="0.25">
      <c r="B411" s="26"/>
      <c r="C411" s="23"/>
      <c r="D411" s="23"/>
      <c r="E411" s="23"/>
      <c r="F411" s="23"/>
      <c r="G411" s="23" t="s">
        <v>126</v>
      </c>
      <c r="H411" s="23"/>
      <c r="I411" s="23"/>
      <c r="J411" s="23"/>
      <c r="K411" s="23" t="s">
        <v>127</v>
      </c>
      <c r="L411" s="23"/>
      <c r="M411" s="23"/>
      <c r="N411" s="23" t="s">
        <v>121</v>
      </c>
      <c r="O411" s="23"/>
      <c r="P411" s="23" t="str">
        <f>TEXT(AI408+AI409+AI410,"#,##0.#######")</f>
        <v>5,596.</v>
      </c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  <c r="BX411" s="23"/>
      <c r="BY411" s="23"/>
      <c r="BZ411" s="23"/>
      <c r="CA411" s="23"/>
      <c r="CB411" s="23"/>
      <c r="CC411" s="23"/>
      <c r="CD411" s="23"/>
      <c r="CE411" s="23"/>
      <c r="CF411" s="23"/>
      <c r="CG411" s="23"/>
      <c r="CH411" s="27">
        <f>CI408+CJ409+CK410</f>
        <v>5596</v>
      </c>
      <c r="CI411" s="27"/>
      <c r="CJ411" s="28"/>
      <c r="CK411" s="28"/>
      <c r="CL411" s="39"/>
    </row>
    <row r="412" spans="2:90" ht="17.649999999999999" customHeight="1" x14ac:dyDescent="0.25">
      <c r="B412" s="26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  <c r="BX412" s="23"/>
      <c r="BY412" s="23"/>
      <c r="BZ412" s="23"/>
      <c r="CA412" s="23"/>
      <c r="CB412" s="23"/>
      <c r="CC412" s="23"/>
      <c r="CD412" s="23"/>
      <c r="CE412" s="23"/>
      <c r="CF412" s="23"/>
      <c r="CG412" s="23"/>
      <c r="CH412" s="27"/>
      <c r="CI412" s="27"/>
      <c r="CJ412" s="28"/>
      <c r="CK412" s="28"/>
      <c r="CL412" s="39"/>
    </row>
    <row r="413" spans="2:90" ht="17.649999999999999" customHeight="1" x14ac:dyDescent="0.25">
      <c r="B413" s="46" t="s">
        <v>260</v>
      </c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  <c r="AA413" s="47"/>
      <c r="AB413" s="47"/>
      <c r="AC413" s="47"/>
      <c r="AD413" s="47"/>
      <c r="AE413" s="47"/>
      <c r="AF413" s="47"/>
      <c r="AG413" s="47"/>
      <c r="AH413" s="47"/>
      <c r="AI413" s="47"/>
      <c r="AJ413" s="47"/>
      <c r="AK413" s="47"/>
      <c r="AL413" s="47"/>
      <c r="AM413" s="47"/>
      <c r="AN413" s="47"/>
      <c r="AO413" s="47"/>
      <c r="AP413" s="47"/>
      <c r="AQ413" s="47"/>
      <c r="AR413" s="47"/>
      <c r="AS413" s="47"/>
      <c r="AT413" s="47"/>
      <c r="AU413" s="47"/>
      <c r="AV413" s="47"/>
      <c r="AW413" s="47"/>
      <c r="AX413" s="47"/>
      <c r="AY413" s="47"/>
      <c r="AZ413" s="47"/>
      <c r="BA413" s="47"/>
      <c r="BB413" s="47"/>
      <c r="BC413" s="47"/>
      <c r="BD413" s="47"/>
      <c r="BE413" s="47"/>
      <c r="BF413" s="47"/>
      <c r="BG413" s="47"/>
      <c r="BH413" s="47"/>
      <c r="BI413" s="47"/>
      <c r="BJ413" s="47"/>
      <c r="BK413" s="47"/>
      <c r="BL413" s="47"/>
      <c r="BM413" s="47"/>
      <c r="BN413" s="47"/>
      <c r="BO413" s="47"/>
      <c r="BP413" s="47"/>
      <c r="BQ413" s="47"/>
      <c r="BR413" s="47"/>
      <c r="BS413" s="47"/>
      <c r="BT413" s="47"/>
      <c r="BU413" s="47"/>
      <c r="BV413" s="47"/>
      <c r="BW413" s="47"/>
      <c r="BX413" s="47"/>
      <c r="BY413" s="47"/>
      <c r="BZ413" s="47"/>
      <c r="CA413" s="47"/>
      <c r="CB413" s="47"/>
      <c r="CC413" s="47"/>
      <c r="CD413" s="47"/>
      <c r="CE413" s="47"/>
      <c r="CF413" s="47"/>
      <c r="CG413" s="47"/>
      <c r="CH413" s="48">
        <f>TRUNC(CI413+CJ413+CK413,0)</f>
        <v>4807</v>
      </c>
      <c r="CI413" s="48">
        <f>TRUNC(CI422,0)</f>
        <v>3273</v>
      </c>
      <c r="CJ413" s="49">
        <f>TRUNC(CJ423,0)</f>
        <v>582</v>
      </c>
      <c r="CK413" s="49">
        <f>TRUNC(CK424,0)</f>
        <v>952</v>
      </c>
      <c r="CL413" s="97">
        <v>823</v>
      </c>
    </row>
    <row r="414" spans="2:90" ht="17.649999999999999" customHeight="1" x14ac:dyDescent="0.25">
      <c r="B414" s="26"/>
      <c r="C414" s="23"/>
      <c r="D414" s="23" t="s">
        <v>94</v>
      </c>
      <c r="E414" s="23"/>
      <c r="F414" s="23"/>
      <c r="G414" s="23" t="s">
        <v>151</v>
      </c>
      <c r="H414" s="23"/>
      <c r="I414" s="23"/>
      <c r="J414" s="23"/>
      <c r="K414" s="23"/>
      <c r="L414" s="23"/>
      <c r="M414" s="23" t="s">
        <v>121</v>
      </c>
      <c r="N414" s="23"/>
      <c r="O414" s="23" t="s">
        <v>152</v>
      </c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 t="s">
        <v>153</v>
      </c>
      <c r="AB414" s="23"/>
      <c r="AC414" s="23"/>
      <c r="AD414" s="23"/>
      <c r="AE414" s="23"/>
      <c r="AF414" s="23"/>
      <c r="AG414" s="23"/>
      <c r="AH414" s="23" t="s">
        <v>157</v>
      </c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  <c r="BX414" s="23"/>
      <c r="BY414" s="23"/>
      <c r="BZ414" s="23"/>
      <c r="CA414" s="23"/>
      <c r="CB414" s="23"/>
      <c r="CC414" s="23"/>
      <c r="CD414" s="23"/>
      <c r="CE414" s="23"/>
      <c r="CF414" s="23"/>
      <c r="CG414" s="23"/>
      <c r="CH414" s="27"/>
      <c r="CI414" s="27"/>
      <c r="CJ414" s="28"/>
      <c r="CK414" s="28"/>
      <c r="CL414" s="39" t="s">
        <v>155</v>
      </c>
    </row>
    <row r="415" spans="2:90" ht="17.649999999999999" customHeight="1" x14ac:dyDescent="0.25">
      <c r="B415" s="26"/>
      <c r="C415" s="23"/>
      <c r="D415" s="23"/>
      <c r="E415" s="23"/>
      <c r="F415" s="23"/>
      <c r="G415" s="23" t="s">
        <v>112</v>
      </c>
      <c r="H415" s="23"/>
      <c r="I415" s="23" t="s">
        <v>103</v>
      </c>
      <c r="J415" s="23"/>
      <c r="K415" s="23" t="str">
        <f>TEXT(0.2,"#,##0.#######")</f>
        <v>0.2</v>
      </c>
      <c r="L415" s="23"/>
      <c r="M415" s="23"/>
      <c r="N415" s="23"/>
      <c r="O415" s="23"/>
      <c r="P415" s="23"/>
      <c r="Q415" s="23" t="s">
        <v>114</v>
      </c>
      <c r="R415" s="23"/>
      <c r="S415" s="23" t="s">
        <v>103</v>
      </c>
      <c r="T415" s="23"/>
      <c r="U415" s="23" t="str">
        <f>TEXT(1,"#,##0.#######")</f>
        <v>1.</v>
      </c>
      <c r="V415" s="23"/>
      <c r="W415" s="23" t="s">
        <v>122</v>
      </c>
      <c r="X415" s="23"/>
      <c r="Y415" s="23" t="str">
        <f>TEXT(1.35,"#,##0.#######")</f>
        <v>1.35</v>
      </c>
      <c r="Z415" s="23"/>
      <c r="AA415" s="23"/>
      <c r="AB415" s="29" t="s">
        <v>103</v>
      </c>
      <c r="AC415" s="29"/>
      <c r="AD415" s="23" t="str">
        <f>TEXT(U415/Y415,"#,##0.##")</f>
        <v>0.74</v>
      </c>
      <c r="AE415" s="29"/>
      <c r="AF415" s="29"/>
      <c r="AG415" s="29"/>
      <c r="AH415" s="29"/>
      <c r="AI415" s="23" t="s">
        <v>113</v>
      </c>
      <c r="AJ415" s="23"/>
      <c r="AK415" s="23" t="s">
        <v>103</v>
      </c>
      <c r="AL415" s="23"/>
      <c r="AM415" s="23" t="str">
        <f>TEXT(0.7,"#,##0.#######")</f>
        <v>0.7</v>
      </c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  <c r="BX415" s="23"/>
      <c r="BY415" s="23"/>
      <c r="BZ415" s="23"/>
      <c r="CA415" s="23"/>
      <c r="CB415" s="23"/>
      <c r="CC415" s="23"/>
      <c r="CD415" s="23"/>
      <c r="CE415" s="23"/>
      <c r="CF415" s="23"/>
      <c r="CG415" s="23"/>
      <c r="CH415" s="27"/>
      <c r="CI415" s="27"/>
      <c r="CJ415" s="28"/>
      <c r="CK415" s="28"/>
      <c r="CL415" s="39"/>
    </row>
    <row r="416" spans="2:90" ht="17.649999999999999" customHeight="1" x14ac:dyDescent="0.25">
      <c r="B416" s="26"/>
      <c r="C416" s="23"/>
      <c r="D416" s="23"/>
      <c r="E416" s="23"/>
      <c r="F416" s="23"/>
      <c r="G416" s="23" t="s">
        <v>107</v>
      </c>
      <c r="H416" s="23"/>
      <c r="I416" s="23" t="s">
        <v>103</v>
      </c>
      <c r="J416" s="23"/>
      <c r="K416" s="23" t="str">
        <f>TEXT(0.45,"#,##0.#######")</f>
        <v>0.45</v>
      </c>
      <c r="L416" s="23"/>
      <c r="M416" s="23"/>
      <c r="N416" s="23"/>
      <c r="O416" s="23"/>
      <c r="P416" s="23"/>
      <c r="Q416" s="23"/>
      <c r="R416" s="23"/>
      <c r="S416" s="23" t="s">
        <v>108</v>
      </c>
      <c r="T416" s="23"/>
      <c r="U416" s="23"/>
      <c r="V416" s="23" t="s">
        <v>103</v>
      </c>
      <c r="W416" s="23"/>
      <c r="X416" s="23" t="str">
        <f>TEXT(13,"#,##0.#######")</f>
        <v>13.</v>
      </c>
      <c r="Y416" s="23"/>
      <c r="Z416" s="23"/>
      <c r="AA416" s="23" t="s">
        <v>109</v>
      </c>
      <c r="AB416" s="23"/>
      <c r="AC416" s="23"/>
      <c r="AD416" s="23"/>
      <c r="AE416" s="23" t="s">
        <v>96</v>
      </c>
      <c r="AF416" s="23" t="str">
        <f>TEXT(45,"#,##0.#######")</f>
        <v>45.</v>
      </c>
      <c r="AG416" s="23"/>
      <c r="AH416" s="23" t="s">
        <v>110</v>
      </c>
      <c r="AI416" s="23"/>
      <c r="AJ416" s="23" t="s">
        <v>101</v>
      </c>
      <c r="AK416" s="23" t="s">
        <v>111</v>
      </c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  <c r="BX416" s="23"/>
      <c r="BY416" s="23"/>
      <c r="BZ416" s="23"/>
      <c r="CA416" s="23"/>
      <c r="CB416" s="23"/>
      <c r="CC416" s="23"/>
      <c r="CD416" s="23"/>
      <c r="CE416" s="23"/>
      <c r="CF416" s="23"/>
      <c r="CG416" s="23"/>
      <c r="CH416" s="27"/>
      <c r="CI416" s="27"/>
      <c r="CJ416" s="28"/>
      <c r="CK416" s="28"/>
      <c r="CL416" s="39"/>
    </row>
    <row r="417" spans="2:90" ht="17.649999999999999" customHeight="1" x14ac:dyDescent="0.25">
      <c r="B417" s="26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  <c r="BX417" s="23"/>
      <c r="BY417" s="23"/>
      <c r="BZ417" s="23"/>
      <c r="CA417" s="23"/>
      <c r="CB417" s="23"/>
      <c r="CC417" s="23"/>
      <c r="CD417" s="23"/>
      <c r="CE417" s="23"/>
      <c r="CF417" s="23"/>
      <c r="CG417" s="23"/>
      <c r="CH417" s="27"/>
      <c r="CI417" s="27"/>
      <c r="CJ417" s="28"/>
      <c r="CK417" s="28"/>
      <c r="CL417" s="39"/>
    </row>
    <row r="418" spans="2:90" ht="17.649999999999999" customHeight="1" x14ac:dyDescent="0.25">
      <c r="B418" s="26"/>
      <c r="C418" s="23"/>
      <c r="D418" s="23"/>
      <c r="E418" s="23"/>
      <c r="F418" s="23"/>
      <c r="G418" s="23"/>
      <c r="H418" s="23"/>
      <c r="I418" s="23"/>
      <c r="J418" s="23"/>
      <c r="K418" s="23"/>
      <c r="L418" s="23" t="str">
        <f>TEXT(3600,"#,##0.#######")</f>
        <v>3,600.</v>
      </c>
      <c r="M418" s="23"/>
      <c r="N418" s="23"/>
      <c r="O418" s="23"/>
      <c r="P418" s="23"/>
      <c r="Q418" s="23" t="s">
        <v>102</v>
      </c>
      <c r="R418" s="23"/>
      <c r="S418" s="23" t="s">
        <v>112</v>
      </c>
      <c r="T418" s="23" t="s">
        <v>102</v>
      </c>
      <c r="U418" s="23"/>
      <c r="V418" s="23" t="s">
        <v>113</v>
      </c>
      <c r="W418" s="23" t="s">
        <v>102</v>
      </c>
      <c r="X418" s="23"/>
      <c r="Y418" s="23" t="s">
        <v>114</v>
      </c>
      <c r="Z418" s="23" t="s">
        <v>102</v>
      </c>
      <c r="AA418" s="23"/>
      <c r="AB418" s="23" t="s">
        <v>107</v>
      </c>
      <c r="AC418" s="23"/>
      <c r="AD418" s="23"/>
      <c r="AE418" s="23"/>
      <c r="AF418" s="23"/>
      <c r="AG418" s="23"/>
      <c r="AH418" s="23"/>
      <c r="AI418" s="23" t="str">
        <f>TEXT(L418,"#,##0.#######")</f>
        <v>3,600.</v>
      </c>
      <c r="AJ418" s="23"/>
      <c r="AK418" s="23"/>
      <c r="AL418" s="23"/>
      <c r="AM418" s="23"/>
      <c r="AN418" s="23" t="s">
        <v>102</v>
      </c>
      <c r="AO418" s="23"/>
      <c r="AP418" s="23" t="str">
        <f>TEXT(K415,"#,##0.#######")</f>
        <v>0.2</v>
      </c>
      <c r="AQ418" s="23"/>
      <c r="AR418" s="23"/>
      <c r="AS418" s="23" t="s">
        <v>102</v>
      </c>
      <c r="AT418" s="23"/>
      <c r="AU418" s="23" t="str">
        <f>TEXT(AM415,"#,##0.#######")</f>
        <v>0.7</v>
      </c>
      <c r="AV418" s="23"/>
      <c r="AW418" s="23"/>
      <c r="AX418" s="23" t="s">
        <v>102</v>
      </c>
      <c r="AY418" s="23"/>
      <c r="AZ418" s="23" t="str">
        <f>TEXT(AD415,"#,##0.#######")</f>
        <v>0.74</v>
      </c>
      <c r="BA418" s="29"/>
      <c r="BB418" s="29"/>
      <c r="BC418" s="23" t="s">
        <v>102</v>
      </c>
      <c r="BD418" s="23"/>
      <c r="BE418" s="23" t="str">
        <f>TEXT(K416,"#,##0.#######")</f>
        <v>0.45</v>
      </c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  <c r="BX418" s="23"/>
      <c r="BY418" s="23"/>
      <c r="BZ418" s="23"/>
      <c r="CA418" s="23"/>
      <c r="CB418" s="23"/>
      <c r="CC418" s="23"/>
      <c r="CD418" s="23"/>
      <c r="CE418" s="23"/>
      <c r="CF418" s="23"/>
      <c r="CG418" s="23"/>
      <c r="CH418" s="27"/>
      <c r="CI418" s="27"/>
      <c r="CJ418" s="28"/>
      <c r="CK418" s="28"/>
      <c r="CL418" s="39"/>
    </row>
    <row r="419" spans="2:90" ht="17.649999999999999" customHeight="1" x14ac:dyDescent="0.25">
      <c r="B419" s="26"/>
      <c r="C419" s="23"/>
      <c r="D419" s="23"/>
      <c r="E419" s="23"/>
      <c r="F419" s="23"/>
      <c r="G419" s="23" t="s">
        <v>115</v>
      </c>
      <c r="H419" s="23"/>
      <c r="I419" s="23" t="s">
        <v>103</v>
      </c>
      <c r="J419" s="23"/>
      <c r="K419" s="23" t="s">
        <v>116</v>
      </c>
      <c r="L419" s="23"/>
      <c r="M419" s="23" t="s">
        <v>116</v>
      </c>
      <c r="N419" s="23"/>
      <c r="O419" s="23" t="s">
        <v>116</v>
      </c>
      <c r="P419" s="23"/>
      <c r="Q419" s="23" t="s">
        <v>116</v>
      </c>
      <c r="R419" s="23"/>
      <c r="S419" s="23" t="s">
        <v>116</v>
      </c>
      <c r="T419" s="23"/>
      <c r="U419" s="23" t="s">
        <v>116</v>
      </c>
      <c r="V419" s="23"/>
      <c r="W419" s="23" t="s">
        <v>116</v>
      </c>
      <c r="X419" s="23"/>
      <c r="Y419" s="23" t="s">
        <v>116</v>
      </c>
      <c r="Z419" s="23"/>
      <c r="AA419" s="23" t="s">
        <v>116</v>
      </c>
      <c r="AB419" s="23"/>
      <c r="AC419" s="23" t="s">
        <v>116</v>
      </c>
      <c r="AD419" s="23"/>
      <c r="AE419" s="23"/>
      <c r="AF419" s="23" t="s">
        <v>103</v>
      </c>
      <c r="AG419" s="23"/>
      <c r="AH419" s="23" t="s">
        <v>116</v>
      </c>
      <c r="AI419" s="23"/>
      <c r="AJ419" s="23" t="s">
        <v>116</v>
      </c>
      <c r="AK419" s="23"/>
      <c r="AL419" s="23" t="s">
        <v>116</v>
      </c>
      <c r="AM419" s="23"/>
      <c r="AN419" s="23" t="s">
        <v>116</v>
      </c>
      <c r="AO419" s="23"/>
      <c r="AP419" s="23" t="s">
        <v>116</v>
      </c>
      <c r="AQ419" s="23"/>
      <c r="AR419" s="23" t="s">
        <v>116</v>
      </c>
      <c r="AS419" s="23"/>
      <c r="AT419" s="23" t="s">
        <v>116</v>
      </c>
      <c r="AU419" s="23"/>
      <c r="AV419" s="23" t="s">
        <v>116</v>
      </c>
      <c r="AW419" s="23"/>
      <c r="AX419" s="23" t="s">
        <v>116</v>
      </c>
      <c r="AY419" s="23"/>
      <c r="AZ419" s="23" t="s">
        <v>116</v>
      </c>
      <c r="BA419" s="23"/>
      <c r="BB419" s="23" t="s">
        <v>116</v>
      </c>
      <c r="BC419" s="23"/>
      <c r="BD419" s="23" t="s">
        <v>116</v>
      </c>
      <c r="BE419" s="23"/>
      <c r="BF419" s="23" t="s">
        <v>116</v>
      </c>
      <c r="BG419" s="23"/>
      <c r="BH419" s="23"/>
      <c r="BI419" s="23" t="s">
        <v>103</v>
      </c>
      <c r="BJ419" s="23"/>
      <c r="BK419" s="23" t="str">
        <f>TEXT(ROUND((3600*K415*AM415*AD415*K416)/(X416),2),"#,##0.#######")</f>
        <v>12.91</v>
      </c>
      <c r="BL419" s="23"/>
      <c r="BM419" s="23"/>
      <c r="BN419" s="23"/>
      <c r="BO419" s="23"/>
      <c r="BP419" s="23"/>
      <c r="BQ419" s="23"/>
      <c r="BR419" s="23" t="s">
        <v>117</v>
      </c>
      <c r="BS419" s="23"/>
      <c r="BT419" s="23" t="s">
        <v>118</v>
      </c>
      <c r="BU419" s="23" t="s">
        <v>119</v>
      </c>
      <c r="BV419" s="23"/>
      <c r="BW419" s="23"/>
      <c r="BX419" s="23"/>
      <c r="BY419" s="23"/>
      <c r="BZ419" s="23"/>
      <c r="CA419" s="23"/>
      <c r="CB419" s="23"/>
      <c r="CC419" s="23"/>
      <c r="CD419" s="23"/>
      <c r="CE419" s="23"/>
      <c r="CF419" s="23"/>
      <c r="CG419" s="23"/>
      <c r="CH419" s="27"/>
      <c r="CI419" s="27"/>
      <c r="CJ419" s="28"/>
      <c r="CK419" s="28"/>
      <c r="CL419" s="39"/>
    </row>
    <row r="420" spans="2:90" ht="17.649999999999999" customHeight="1" x14ac:dyDescent="0.25">
      <c r="B420" s="26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 t="s">
        <v>108</v>
      </c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 t="str">
        <f>TEXT(X416,"#,##0.#######")</f>
        <v>13.</v>
      </c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  <c r="BX420" s="23"/>
      <c r="BY420" s="23"/>
      <c r="BZ420" s="23"/>
      <c r="CA420" s="23"/>
      <c r="CB420" s="23"/>
      <c r="CC420" s="23"/>
      <c r="CD420" s="23"/>
      <c r="CE420" s="23"/>
      <c r="CF420" s="23"/>
      <c r="CG420" s="23"/>
      <c r="CH420" s="27"/>
      <c r="CI420" s="27"/>
      <c r="CJ420" s="28"/>
      <c r="CK420" s="28"/>
      <c r="CL420" s="39"/>
    </row>
    <row r="421" spans="2:90" ht="17.649999999999999" customHeight="1" x14ac:dyDescent="0.25">
      <c r="B421" s="26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  <c r="BX421" s="23"/>
      <c r="BY421" s="23"/>
      <c r="BZ421" s="23"/>
      <c r="CA421" s="23"/>
      <c r="CB421" s="23"/>
      <c r="CC421" s="23"/>
      <c r="CD421" s="23"/>
      <c r="CE421" s="23"/>
      <c r="CF421" s="23"/>
      <c r="CG421" s="23"/>
      <c r="CH421" s="27"/>
      <c r="CI421" s="27"/>
      <c r="CJ421" s="28"/>
      <c r="CK421" s="28"/>
      <c r="CL421" s="39"/>
    </row>
    <row r="422" spans="2:90" ht="17.649999999999999" customHeight="1" x14ac:dyDescent="0.25">
      <c r="B422" s="26"/>
      <c r="C422" s="23"/>
      <c r="D422" s="23"/>
      <c r="E422" s="23"/>
      <c r="F422" s="23"/>
      <c r="G422" s="23" t="s">
        <v>120</v>
      </c>
      <c r="H422" s="23"/>
      <c r="I422" s="23"/>
      <c r="J422" s="23"/>
      <c r="K422" s="23"/>
      <c r="L422" s="23"/>
      <c r="M422" s="23"/>
      <c r="N422" s="23" t="s">
        <v>121</v>
      </c>
      <c r="O422" s="23"/>
      <c r="P422" s="23" t="str">
        <f>TEXT([1]기계경비총괄표!G6,"#,##0.#######")</f>
        <v>42,267.</v>
      </c>
      <c r="Q422" s="23"/>
      <c r="R422" s="23"/>
      <c r="S422" s="23"/>
      <c r="T422" s="23"/>
      <c r="U422" s="23"/>
      <c r="V422" s="23"/>
      <c r="W422" s="23"/>
      <c r="X422" s="23"/>
      <c r="Y422" s="23" t="s">
        <v>122</v>
      </c>
      <c r="Z422" s="23"/>
      <c r="AA422" s="23"/>
      <c r="AB422" s="23" t="str">
        <f>TEXT(BK419,"#,##0.#######")</f>
        <v>12.91</v>
      </c>
      <c r="AC422" s="23"/>
      <c r="AD422" s="23"/>
      <c r="AE422" s="23"/>
      <c r="AF422" s="23"/>
      <c r="AG422" s="23" t="s">
        <v>103</v>
      </c>
      <c r="AH422" s="23"/>
      <c r="AI422" s="23" t="str">
        <f>TEXT(TRUNC(P422/BK419,1),"#,##0.#")</f>
        <v>3,273.9</v>
      </c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  <c r="BU422" s="23"/>
      <c r="BV422" s="23"/>
      <c r="BW422" s="23"/>
      <c r="BX422" s="23"/>
      <c r="BY422" s="23"/>
      <c r="BZ422" s="23"/>
      <c r="CA422" s="23"/>
      <c r="CB422" s="23"/>
      <c r="CC422" s="23"/>
      <c r="CD422" s="23"/>
      <c r="CE422" s="23"/>
      <c r="CF422" s="23"/>
      <c r="CG422" s="23"/>
      <c r="CH422" s="27"/>
      <c r="CI422" s="27" t="str">
        <f>AI422</f>
        <v>3,273.9</v>
      </c>
      <c r="CJ422" s="28"/>
      <c r="CK422" s="28"/>
      <c r="CL422" s="39"/>
    </row>
    <row r="423" spans="2:90" ht="17.649999999999999" customHeight="1" x14ac:dyDescent="0.25">
      <c r="B423" s="26"/>
      <c r="C423" s="23"/>
      <c r="D423" s="23"/>
      <c r="E423" s="23"/>
      <c r="F423" s="23"/>
      <c r="G423" s="23" t="s">
        <v>123</v>
      </c>
      <c r="H423" s="23"/>
      <c r="I423" s="23"/>
      <c r="J423" s="23"/>
      <c r="K423" s="23"/>
      <c r="L423" s="23"/>
      <c r="M423" s="23"/>
      <c r="N423" s="23" t="s">
        <v>121</v>
      </c>
      <c r="O423" s="23"/>
      <c r="P423" s="23" t="str">
        <f>TEXT([1]기계경비총괄표!F6,"#,##0.#######")</f>
        <v>7,520.1</v>
      </c>
      <c r="Q423" s="23"/>
      <c r="R423" s="23"/>
      <c r="S423" s="23"/>
      <c r="T423" s="23"/>
      <c r="U423" s="23"/>
      <c r="V423" s="23"/>
      <c r="W423" s="23"/>
      <c r="X423" s="23"/>
      <c r="Y423" s="23" t="s">
        <v>122</v>
      </c>
      <c r="Z423" s="23"/>
      <c r="AA423" s="23"/>
      <c r="AB423" s="23" t="str">
        <f>TEXT(BK419,"#,##0.#######")</f>
        <v>12.91</v>
      </c>
      <c r="AC423" s="23"/>
      <c r="AD423" s="23"/>
      <c r="AE423" s="23"/>
      <c r="AF423" s="23"/>
      <c r="AG423" s="23" t="s">
        <v>103</v>
      </c>
      <c r="AH423" s="23"/>
      <c r="AI423" s="23" t="str">
        <f>TEXT(TRUNC(P423/BK419,1),"#,##0.#")</f>
        <v>582.5</v>
      </c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/>
      <c r="BW423" s="23"/>
      <c r="BX423" s="23"/>
      <c r="BY423" s="23"/>
      <c r="BZ423" s="23"/>
      <c r="CA423" s="23"/>
      <c r="CB423" s="23"/>
      <c r="CC423" s="23"/>
      <c r="CD423" s="23"/>
      <c r="CE423" s="23"/>
      <c r="CF423" s="23"/>
      <c r="CG423" s="23"/>
      <c r="CH423" s="27"/>
      <c r="CI423" s="27"/>
      <c r="CJ423" s="28" t="str">
        <f>AI423</f>
        <v>582.5</v>
      </c>
      <c r="CK423" s="28"/>
      <c r="CL423" s="39"/>
    </row>
    <row r="424" spans="2:90" ht="17.649999999999999" customHeight="1" x14ac:dyDescent="0.25">
      <c r="B424" s="26"/>
      <c r="C424" s="23"/>
      <c r="D424" s="23"/>
      <c r="E424" s="23"/>
      <c r="F424" s="23"/>
      <c r="G424" s="23" t="s">
        <v>124</v>
      </c>
      <c r="H424" s="23"/>
      <c r="I424" s="23"/>
      <c r="J424" s="23"/>
      <c r="K424" s="23" t="s">
        <v>125</v>
      </c>
      <c r="L424" s="23"/>
      <c r="M424" s="23"/>
      <c r="N424" s="23" t="s">
        <v>121</v>
      </c>
      <c r="O424" s="23"/>
      <c r="P424" s="23" t="str">
        <f>TEXT([1]기계경비총괄표!H6,"#,##0.#######")</f>
        <v>12,301.5</v>
      </c>
      <c r="Q424" s="23"/>
      <c r="R424" s="23"/>
      <c r="S424" s="23"/>
      <c r="T424" s="23"/>
      <c r="U424" s="23"/>
      <c r="V424" s="23"/>
      <c r="W424" s="23"/>
      <c r="X424" s="23"/>
      <c r="Y424" s="23" t="s">
        <v>122</v>
      </c>
      <c r="Z424" s="23"/>
      <c r="AA424" s="23"/>
      <c r="AB424" s="23" t="str">
        <f>TEXT(BK419,"#,##0.#######")</f>
        <v>12.91</v>
      </c>
      <c r="AC424" s="23"/>
      <c r="AD424" s="23"/>
      <c r="AE424" s="23"/>
      <c r="AF424" s="23"/>
      <c r="AG424" s="23" t="s">
        <v>103</v>
      </c>
      <c r="AH424" s="23"/>
      <c r="AI424" s="23" t="str">
        <f>TEXT(TRUNC(P424/BK419,1),"#,##0.#")</f>
        <v>952.8</v>
      </c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  <c r="BX424" s="23"/>
      <c r="BY424" s="23"/>
      <c r="BZ424" s="23"/>
      <c r="CA424" s="23"/>
      <c r="CB424" s="23"/>
      <c r="CC424" s="23"/>
      <c r="CD424" s="23"/>
      <c r="CE424" s="23"/>
      <c r="CF424" s="23"/>
      <c r="CG424" s="23"/>
      <c r="CH424" s="27"/>
      <c r="CI424" s="27"/>
      <c r="CJ424" s="28"/>
      <c r="CK424" s="28" t="str">
        <f>AI424</f>
        <v>952.8</v>
      </c>
      <c r="CL424" s="39"/>
    </row>
    <row r="425" spans="2:90" ht="17.649999999999999" customHeight="1" x14ac:dyDescent="0.25">
      <c r="B425" s="26"/>
      <c r="C425" s="23"/>
      <c r="D425" s="23"/>
      <c r="E425" s="23"/>
      <c r="F425" s="23"/>
      <c r="G425" s="23" t="s">
        <v>126</v>
      </c>
      <c r="H425" s="23"/>
      <c r="I425" s="23"/>
      <c r="J425" s="23"/>
      <c r="K425" s="23" t="s">
        <v>127</v>
      </c>
      <c r="L425" s="23"/>
      <c r="M425" s="23"/>
      <c r="N425" s="23" t="s">
        <v>121</v>
      </c>
      <c r="O425" s="23"/>
      <c r="P425" s="23" t="str">
        <f>TEXT(AI422+AI423+AI424,"#,##0.#######")</f>
        <v>4,809.2</v>
      </c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  <c r="BX425" s="23"/>
      <c r="BY425" s="23"/>
      <c r="BZ425" s="23"/>
      <c r="CA425" s="23"/>
      <c r="CB425" s="23"/>
      <c r="CC425" s="23"/>
      <c r="CD425" s="23"/>
      <c r="CE425" s="23"/>
      <c r="CF425" s="23"/>
      <c r="CG425" s="23"/>
      <c r="CH425" s="27">
        <f>CI422+CJ423+CK424</f>
        <v>4809.2</v>
      </c>
      <c r="CI425" s="27"/>
      <c r="CJ425" s="28"/>
      <c r="CK425" s="28"/>
      <c r="CL425" s="39"/>
    </row>
    <row r="426" spans="2:90" ht="17.649999999999999" customHeight="1" x14ac:dyDescent="0.25">
      <c r="B426" s="77"/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  <c r="AA426" s="78"/>
      <c r="AB426" s="78"/>
      <c r="AC426" s="78"/>
      <c r="AD426" s="78"/>
      <c r="AE426" s="78"/>
      <c r="AF426" s="78"/>
      <c r="AG426" s="78"/>
      <c r="AH426" s="78"/>
      <c r="AI426" s="78"/>
      <c r="AJ426" s="78"/>
      <c r="AK426" s="78"/>
      <c r="AL426" s="78"/>
      <c r="AM426" s="78"/>
      <c r="AN426" s="78"/>
      <c r="AO426" s="78"/>
      <c r="AP426" s="78"/>
      <c r="AQ426" s="78"/>
      <c r="AR426" s="78"/>
      <c r="AS426" s="78"/>
      <c r="AT426" s="78"/>
      <c r="AU426" s="78"/>
      <c r="AV426" s="78"/>
      <c r="AW426" s="78"/>
      <c r="AX426" s="78"/>
      <c r="AY426" s="78"/>
      <c r="AZ426" s="78"/>
      <c r="BA426" s="78"/>
      <c r="BB426" s="78"/>
      <c r="BC426" s="78"/>
      <c r="BD426" s="78"/>
      <c r="BE426" s="78"/>
      <c r="BF426" s="78"/>
      <c r="BG426" s="78"/>
      <c r="BH426" s="78"/>
      <c r="BI426" s="78"/>
      <c r="BJ426" s="78"/>
      <c r="BK426" s="78"/>
      <c r="BL426" s="78"/>
      <c r="BM426" s="78"/>
      <c r="BN426" s="78"/>
      <c r="BO426" s="78"/>
      <c r="BP426" s="78"/>
      <c r="BQ426" s="78"/>
      <c r="BR426" s="78"/>
      <c r="BS426" s="78"/>
      <c r="BT426" s="78"/>
      <c r="BU426" s="78"/>
      <c r="BV426" s="78"/>
      <c r="BW426" s="78"/>
      <c r="BX426" s="78"/>
      <c r="BY426" s="78"/>
      <c r="BZ426" s="78"/>
      <c r="CA426" s="78"/>
      <c r="CB426" s="78"/>
      <c r="CC426" s="78"/>
      <c r="CD426" s="78"/>
      <c r="CE426" s="78"/>
      <c r="CF426" s="78"/>
      <c r="CG426" s="78"/>
      <c r="CH426" s="91"/>
      <c r="CI426" s="91"/>
      <c r="CJ426" s="92"/>
      <c r="CK426" s="92"/>
      <c r="CL426" s="93"/>
    </row>
    <row r="427" spans="2:90" ht="16.7" customHeight="1" x14ac:dyDescent="0.25">
      <c r="B427" s="82" t="s">
        <v>261</v>
      </c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  <c r="AA427" s="83"/>
      <c r="AB427" s="83"/>
      <c r="AC427" s="83"/>
      <c r="AD427" s="83"/>
      <c r="AE427" s="83"/>
      <c r="AF427" s="83"/>
      <c r="AG427" s="83"/>
      <c r="AH427" s="83"/>
      <c r="AI427" s="83"/>
      <c r="AJ427" s="83"/>
      <c r="AK427" s="83"/>
      <c r="AL427" s="83"/>
      <c r="AM427" s="83"/>
      <c r="AN427" s="83"/>
      <c r="AO427" s="83"/>
      <c r="AP427" s="83"/>
      <c r="AQ427" s="83"/>
      <c r="AR427" s="83"/>
      <c r="AS427" s="83"/>
      <c r="AT427" s="83"/>
      <c r="AU427" s="83"/>
      <c r="AV427" s="83"/>
      <c r="AW427" s="83"/>
      <c r="AX427" s="83"/>
      <c r="AY427" s="83"/>
      <c r="AZ427" s="83"/>
      <c r="BA427" s="83"/>
      <c r="BB427" s="83"/>
      <c r="BC427" s="83"/>
      <c r="BD427" s="83"/>
      <c r="BE427" s="83"/>
      <c r="BF427" s="83"/>
      <c r="BG427" s="83"/>
      <c r="BH427" s="83"/>
      <c r="BI427" s="83"/>
      <c r="BJ427" s="83"/>
      <c r="BK427" s="83"/>
      <c r="BL427" s="83"/>
      <c r="BM427" s="83"/>
      <c r="BN427" s="83"/>
      <c r="BO427" s="83"/>
      <c r="BP427" s="83"/>
      <c r="BQ427" s="83"/>
      <c r="BR427" s="83"/>
      <c r="BS427" s="83"/>
      <c r="BT427" s="83"/>
      <c r="BU427" s="83"/>
      <c r="BV427" s="83"/>
      <c r="BW427" s="83"/>
      <c r="BX427" s="83"/>
      <c r="BY427" s="83"/>
      <c r="BZ427" s="83"/>
      <c r="CA427" s="83"/>
      <c r="CB427" s="83"/>
      <c r="CC427" s="83"/>
      <c r="CD427" s="83"/>
      <c r="CE427" s="83"/>
      <c r="CF427" s="83"/>
      <c r="CG427" s="83"/>
      <c r="CH427" s="94">
        <f>TRUNC(CI427+CJ427+CK427,0)</f>
        <v>1373</v>
      </c>
      <c r="CI427" s="94">
        <f>TRUNC(CI436,0)</f>
        <v>701</v>
      </c>
      <c r="CJ427" s="54">
        <f>TRUNC(CJ437,0)</f>
        <v>293</v>
      </c>
      <c r="CK427" s="54">
        <f>TRUNC(CK438,0)</f>
        <v>379</v>
      </c>
      <c r="CL427" s="101">
        <v>823</v>
      </c>
    </row>
    <row r="428" spans="2:90" ht="16.7" customHeight="1" x14ac:dyDescent="0.25">
      <c r="B428" s="26"/>
      <c r="C428" s="23"/>
      <c r="D428" s="23" t="s">
        <v>94</v>
      </c>
      <c r="E428" s="23"/>
      <c r="F428" s="23"/>
      <c r="G428" s="23" t="s">
        <v>151</v>
      </c>
      <c r="H428" s="23"/>
      <c r="I428" s="23"/>
      <c r="J428" s="23"/>
      <c r="K428" s="23"/>
      <c r="L428" s="23"/>
      <c r="M428" s="23" t="s">
        <v>121</v>
      </c>
      <c r="N428" s="23"/>
      <c r="O428" s="23" t="s">
        <v>152</v>
      </c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 t="s">
        <v>153</v>
      </c>
      <c r="AB428" s="23"/>
      <c r="AC428" s="23"/>
      <c r="AD428" s="23"/>
      <c r="AE428" s="23"/>
      <c r="AF428" s="23"/>
      <c r="AG428" s="23"/>
      <c r="AH428" s="23" t="s">
        <v>159</v>
      </c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  <c r="BX428" s="23"/>
      <c r="BY428" s="23"/>
      <c r="BZ428" s="23"/>
      <c r="CA428" s="23"/>
      <c r="CB428" s="23"/>
      <c r="CC428" s="23"/>
      <c r="CD428" s="23"/>
      <c r="CE428" s="23"/>
      <c r="CF428" s="23"/>
      <c r="CG428" s="23"/>
      <c r="CH428" s="27"/>
      <c r="CI428" s="27"/>
      <c r="CJ428" s="28"/>
      <c r="CK428" s="28"/>
      <c r="CL428" s="39" t="s">
        <v>155</v>
      </c>
    </row>
    <row r="429" spans="2:90" ht="16.7" customHeight="1" x14ac:dyDescent="0.25">
      <c r="B429" s="26"/>
      <c r="C429" s="23"/>
      <c r="D429" s="23"/>
      <c r="E429" s="23"/>
      <c r="F429" s="23"/>
      <c r="G429" s="23" t="s">
        <v>112</v>
      </c>
      <c r="H429" s="23"/>
      <c r="I429" s="23" t="s">
        <v>103</v>
      </c>
      <c r="J429" s="23"/>
      <c r="K429" s="23" t="str">
        <f>TEXT(0.6,"#,##0.#######")</f>
        <v>0.6</v>
      </c>
      <c r="L429" s="23"/>
      <c r="M429" s="23"/>
      <c r="N429" s="23"/>
      <c r="O429" s="23"/>
      <c r="P429" s="23"/>
      <c r="Q429" s="23" t="s">
        <v>114</v>
      </c>
      <c r="R429" s="23"/>
      <c r="S429" s="23" t="s">
        <v>103</v>
      </c>
      <c r="T429" s="23"/>
      <c r="U429" s="23" t="str">
        <f>TEXT(1,"#,##0.#######")</f>
        <v>1.</v>
      </c>
      <c r="V429" s="23"/>
      <c r="W429" s="23" t="s">
        <v>122</v>
      </c>
      <c r="X429" s="23"/>
      <c r="Y429" s="23" t="str">
        <f>TEXT(1.35,"#,##0.#######")</f>
        <v>1.35</v>
      </c>
      <c r="Z429" s="23"/>
      <c r="AA429" s="23"/>
      <c r="AB429" s="29" t="s">
        <v>103</v>
      </c>
      <c r="AC429" s="29"/>
      <c r="AD429" s="23" t="str">
        <f>TEXT(U429/Y429,"#,##0.##")</f>
        <v>0.74</v>
      </c>
      <c r="AE429" s="29"/>
      <c r="AF429" s="29"/>
      <c r="AG429" s="29"/>
      <c r="AH429" s="29"/>
      <c r="AI429" s="23" t="s">
        <v>113</v>
      </c>
      <c r="AJ429" s="23"/>
      <c r="AK429" s="23" t="s">
        <v>103</v>
      </c>
      <c r="AL429" s="23"/>
      <c r="AM429" s="23" t="str">
        <f>TEXT(0.7,"#,##0.#######")</f>
        <v>0.7</v>
      </c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  <c r="BX429" s="23"/>
      <c r="BY429" s="23"/>
      <c r="BZ429" s="23"/>
      <c r="CA429" s="23"/>
      <c r="CB429" s="23"/>
      <c r="CC429" s="23"/>
      <c r="CD429" s="23"/>
      <c r="CE429" s="23"/>
      <c r="CF429" s="23"/>
      <c r="CG429" s="23"/>
      <c r="CH429" s="27"/>
      <c r="CI429" s="27"/>
      <c r="CJ429" s="28"/>
      <c r="CK429" s="28"/>
      <c r="CL429" s="39"/>
    </row>
    <row r="430" spans="2:90" ht="16.7" customHeight="1" x14ac:dyDescent="0.25">
      <c r="B430" s="26"/>
      <c r="C430" s="23"/>
      <c r="D430" s="23"/>
      <c r="E430" s="23"/>
      <c r="F430" s="23"/>
      <c r="G430" s="23" t="s">
        <v>107</v>
      </c>
      <c r="H430" s="23"/>
      <c r="I430" s="23" t="s">
        <v>103</v>
      </c>
      <c r="J430" s="23"/>
      <c r="K430" s="23" t="str">
        <f>TEXT(0.45,"#,##0.#######")</f>
        <v>0.45</v>
      </c>
      <c r="L430" s="23"/>
      <c r="M430" s="23"/>
      <c r="N430" s="23"/>
      <c r="O430" s="23"/>
      <c r="P430" s="23"/>
      <c r="Q430" s="23"/>
      <c r="R430" s="23"/>
      <c r="S430" s="23" t="s">
        <v>108</v>
      </c>
      <c r="T430" s="23"/>
      <c r="U430" s="23"/>
      <c r="V430" s="23" t="s">
        <v>103</v>
      </c>
      <c r="W430" s="23"/>
      <c r="X430" s="23" t="str">
        <f>TEXT(13,"#,##0.#######")</f>
        <v>13.</v>
      </c>
      <c r="Y430" s="23"/>
      <c r="Z430" s="23"/>
      <c r="AA430" s="23" t="s">
        <v>109</v>
      </c>
      <c r="AB430" s="23"/>
      <c r="AC430" s="23"/>
      <c r="AD430" s="23"/>
      <c r="AE430" s="23" t="s">
        <v>96</v>
      </c>
      <c r="AF430" s="23" t="str">
        <f>TEXT(45,"#,##0.#######")</f>
        <v>45.</v>
      </c>
      <c r="AG430" s="23"/>
      <c r="AH430" s="23" t="s">
        <v>110</v>
      </c>
      <c r="AI430" s="23"/>
      <c r="AJ430" s="23" t="s">
        <v>101</v>
      </c>
      <c r="AK430" s="23" t="s">
        <v>111</v>
      </c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  <c r="BX430" s="23"/>
      <c r="BY430" s="23"/>
      <c r="BZ430" s="23"/>
      <c r="CA430" s="23"/>
      <c r="CB430" s="23"/>
      <c r="CC430" s="23"/>
      <c r="CD430" s="23"/>
      <c r="CE430" s="23"/>
      <c r="CF430" s="23"/>
      <c r="CG430" s="23"/>
      <c r="CH430" s="27"/>
      <c r="CI430" s="27"/>
      <c r="CJ430" s="28"/>
      <c r="CK430" s="28"/>
      <c r="CL430" s="39"/>
    </row>
    <row r="431" spans="2:90" ht="16.7" customHeight="1" x14ac:dyDescent="0.25">
      <c r="B431" s="26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  <c r="BX431" s="23"/>
      <c r="BY431" s="23"/>
      <c r="BZ431" s="23"/>
      <c r="CA431" s="23"/>
      <c r="CB431" s="23"/>
      <c r="CC431" s="23"/>
      <c r="CD431" s="23"/>
      <c r="CE431" s="23"/>
      <c r="CF431" s="23"/>
      <c r="CG431" s="23"/>
      <c r="CH431" s="27"/>
      <c r="CI431" s="27"/>
      <c r="CJ431" s="28"/>
      <c r="CK431" s="28"/>
      <c r="CL431" s="39"/>
    </row>
    <row r="432" spans="2:90" ht="16.7" customHeight="1" x14ac:dyDescent="0.25">
      <c r="B432" s="26"/>
      <c r="C432" s="23"/>
      <c r="D432" s="23"/>
      <c r="E432" s="23"/>
      <c r="F432" s="23"/>
      <c r="G432" s="23"/>
      <c r="H432" s="23"/>
      <c r="I432" s="23"/>
      <c r="J432" s="23"/>
      <c r="K432" s="23"/>
      <c r="L432" s="23" t="str">
        <f>TEXT(3600,"#,##0.#######")</f>
        <v>3,600.</v>
      </c>
      <c r="M432" s="23"/>
      <c r="N432" s="23"/>
      <c r="O432" s="23"/>
      <c r="P432" s="23"/>
      <c r="Q432" s="23" t="s">
        <v>102</v>
      </c>
      <c r="R432" s="23"/>
      <c r="S432" s="23" t="s">
        <v>112</v>
      </c>
      <c r="T432" s="23" t="s">
        <v>102</v>
      </c>
      <c r="U432" s="23"/>
      <c r="V432" s="23" t="s">
        <v>113</v>
      </c>
      <c r="W432" s="23" t="s">
        <v>102</v>
      </c>
      <c r="X432" s="23"/>
      <c r="Y432" s="23" t="s">
        <v>114</v>
      </c>
      <c r="Z432" s="23" t="s">
        <v>102</v>
      </c>
      <c r="AA432" s="23"/>
      <c r="AB432" s="23" t="s">
        <v>107</v>
      </c>
      <c r="AC432" s="23"/>
      <c r="AD432" s="23"/>
      <c r="AE432" s="23"/>
      <c r="AF432" s="23"/>
      <c r="AG432" s="23"/>
      <c r="AH432" s="23"/>
      <c r="AI432" s="23" t="str">
        <f>TEXT(L432,"#,##0.#######")</f>
        <v>3,600.</v>
      </c>
      <c r="AJ432" s="23"/>
      <c r="AK432" s="23"/>
      <c r="AL432" s="23"/>
      <c r="AM432" s="23"/>
      <c r="AN432" s="23" t="s">
        <v>102</v>
      </c>
      <c r="AO432" s="23"/>
      <c r="AP432" s="23" t="str">
        <f>TEXT(K429,"#,##0.#######")</f>
        <v>0.6</v>
      </c>
      <c r="AQ432" s="23"/>
      <c r="AR432" s="23"/>
      <c r="AS432" s="23" t="s">
        <v>102</v>
      </c>
      <c r="AT432" s="23"/>
      <c r="AU432" s="23" t="str">
        <f>TEXT(AM429,"#,##0.#######")</f>
        <v>0.7</v>
      </c>
      <c r="AV432" s="23"/>
      <c r="AW432" s="23"/>
      <c r="AX432" s="23" t="s">
        <v>102</v>
      </c>
      <c r="AY432" s="23"/>
      <c r="AZ432" s="23" t="str">
        <f>TEXT(AD429,"#,##0.#######")</f>
        <v>0.74</v>
      </c>
      <c r="BA432" s="29"/>
      <c r="BB432" s="29"/>
      <c r="BC432" s="23" t="s">
        <v>102</v>
      </c>
      <c r="BD432" s="23"/>
      <c r="BE432" s="23" t="str">
        <f>TEXT(K430,"#,##0.#######")</f>
        <v>0.45</v>
      </c>
      <c r="BF432" s="23"/>
      <c r="BG432" s="23"/>
      <c r="BH432" s="23"/>
      <c r="BI432" s="29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  <c r="BX432" s="23"/>
      <c r="BY432" s="23"/>
      <c r="BZ432" s="23"/>
      <c r="CA432" s="23"/>
      <c r="CB432" s="23"/>
      <c r="CC432" s="23"/>
      <c r="CD432" s="23"/>
      <c r="CE432" s="23"/>
      <c r="CF432" s="23"/>
      <c r="CG432" s="23"/>
      <c r="CH432" s="27"/>
      <c r="CI432" s="27"/>
      <c r="CJ432" s="28"/>
      <c r="CK432" s="28"/>
      <c r="CL432" s="39"/>
    </row>
    <row r="433" spans="2:90" ht="16.7" customHeight="1" x14ac:dyDescent="0.25">
      <c r="B433" s="26"/>
      <c r="C433" s="23"/>
      <c r="D433" s="23"/>
      <c r="E433" s="23"/>
      <c r="F433" s="23"/>
      <c r="G433" s="23" t="s">
        <v>115</v>
      </c>
      <c r="H433" s="23"/>
      <c r="I433" s="23" t="s">
        <v>103</v>
      </c>
      <c r="J433" s="23"/>
      <c r="K433" s="23" t="s">
        <v>116</v>
      </c>
      <c r="L433" s="23"/>
      <c r="M433" s="23" t="s">
        <v>116</v>
      </c>
      <c r="N433" s="23"/>
      <c r="O433" s="23" t="s">
        <v>116</v>
      </c>
      <c r="P433" s="23"/>
      <c r="Q433" s="23" t="s">
        <v>116</v>
      </c>
      <c r="R433" s="23"/>
      <c r="S433" s="23" t="s">
        <v>116</v>
      </c>
      <c r="T433" s="23"/>
      <c r="U433" s="23" t="s">
        <v>116</v>
      </c>
      <c r="V433" s="23"/>
      <c r="W433" s="23" t="s">
        <v>116</v>
      </c>
      <c r="X433" s="23"/>
      <c r="Y433" s="23" t="s">
        <v>116</v>
      </c>
      <c r="Z433" s="23"/>
      <c r="AA433" s="23" t="s">
        <v>116</v>
      </c>
      <c r="AB433" s="23"/>
      <c r="AC433" s="23" t="s">
        <v>116</v>
      </c>
      <c r="AD433" s="23"/>
      <c r="AE433" s="23"/>
      <c r="AF433" s="23" t="s">
        <v>103</v>
      </c>
      <c r="AG433" s="23"/>
      <c r="AH433" s="23" t="s">
        <v>116</v>
      </c>
      <c r="AI433" s="23"/>
      <c r="AJ433" s="23" t="s">
        <v>116</v>
      </c>
      <c r="AK433" s="23"/>
      <c r="AL433" s="23" t="s">
        <v>116</v>
      </c>
      <c r="AM433" s="23"/>
      <c r="AN433" s="23" t="s">
        <v>116</v>
      </c>
      <c r="AO433" s="23"/>
      <c r="AP433" s="23" t="s">
        <v>116</v>
      </c>
      <c r="AQ433" s="23"/>
      <c r="AR433" s="23" t="s">
        <v>116</v>
      </c>
      <c r="AS433" s="23"/>
      <c r="AT433" s="23" t="s">
        <v>116</v>
      </c>
      <c r="AU433" s="23"/>
      <c r="AV433" s="23" t="s">
        <v>116</v>
      </c>
      <c r="AW433" s="23"/>
      <c r="AX433" s="23" t="s">
        <v>116</v>
      </c>
      <c r="AY433" s="23"/>
      <c r="AZ433" s="23" t="s">
        <v>116</v>
      </c>
      <c r="BA433" s="23"/>
      <c r="BB433" s="23" t="s">
        <v>116</v>
      </c>
      <c r="BC433" s="23"/>
      <c r="BD433" s="23" t="s">
        <v>116</v>
      </c>
      <c r="BE433" s="23"/>
      <c r="BF433" s="23" t="s">
        <v>116</v>
      </c>
      <c r="BG433" s="23"/>
      <c r="BH433" s="23"/>
      <c r="BI433" s="23" t="s">
        <v>103</v>
      </c>
      <c r="BJ433" s="23"/>
      <c r="BK433" s="23" t="str">
        <f>TEXT(ROUND((3600*K429*AM429*U429*K430)/(X430),2),"#,##0.#######")</f>
        <v>52.34</v>
      </c>
      <c r="BL433" s="23"/>
      <c r="BM433" s="23"/>
      <c r="BN433" s="23"/>
      <c r="BO433" s="23"/>
      <c r="BP433" s="23"/>
      <c r="BQ433" s="23"/>
      <c r="BR433" s="23" t="s">
        <v>117</v>
      </c>
      <c r="BS433" s="23"/>
      <c r="BT433" s="23" t="s">
        <v>118</v>
      </c>
      <c r="BU433" s="23" t="s">
        <v>119</v>
      </c>
      <c r="BV433" s="23"/>
      <c r="BW433" s="23"/>
      <c r="BX433" s="23"/>
      <c r="BY433" s="23"/>
      <c r="BZ433" s="23"/>
      <c r="CA433" s="23"/>
      <c r="CB433" s="23"/>
      <c r="CC433" s="23"/>
      <c r="CD433" s="23"/>
      <c r="CE433" s="23"/>
      <c r="CF433" s="23"/>
      <c r="CG433" s="23"/>
      <c r="CH433" s="27"/>
      <c r="CI433" s="27"/>
      <c r="CJ433" s="28"/>
      <c r="CK433" s="28"/>
      <c r="CL433" s="39"/>
    </row>
    <row r="434" spans="2:90" ht="16.7" customHeight="1" x14ac:dyDescent="0.25">
      <c r="B434" s="26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 t="s">
        <v>108</v>
      </c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 t="str">
        <f>TEXT(X430,"#,##0.#######")</f>
        <v>13.</v>
      </c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  <c r="BX434" s="23"/>
      <c r="BY434" s="23"/>
      <c r="BZ434" s="23"/>
      <c r="CA434" s="23"/>
      <c r="CB434" s="23"/>
      <c r="CC434" s="23"/>
      <c r="CD434" s="23"/>
      <c r="CE434" s="23"/>
      <c r="CF434" s="23"/>
      <c r="CG434" s="23"/>
      <c r="CH434" s="27"/>
      <c r="CI434" s="27"/>
      <c r="CJ434" s="28"/>
      <c r="CK434" s="28"/>
      <c r="CL434" s="39"/>
    </row>
    <row r="435" spans="2:90" ht="16.7" customHeight="1" x14ac:dyDescent="0.25">
      <c r="B435" s="26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  <c r="BX435" s="23"/>
      <c r="BY435" s="23"/>
      <c r="BZ435" s="23"/>
      <c r="CA435" s="23"/>
      <c r="CB435" s="23"/>
      <c r="CC435" s="23"/>
      <c r="CD435" s="23"/>
      <c r="CE435" s="23"/>
      <c r="CF435" s="23"/>
      <c r="CG435" s="23"/>
      <c r="CH435" s="27"/>
      <c r="CI435" s="27"/>
      <c r="CJ435" s="28"/>
      <c r="CK435" s="28"/>
      <c r="CL435" s="39"/>
    </row>
    <row r="436" spans="2:90" ht="16.7" customHeight="1" x14ac:dyDescent="0.25">
      <c r="B436" s="26"/>
      <c r="C436" s="23"/>
      <c r="D436" s="23"/>
      <c r="E436" s="23"/>
      <c r="F436" s="23"/>
      <c r="G436" s="23" t="s">
        <v>120</v>
      </c>
      <c r="H436" s="23"/>
      <c r="I436" s="23"/>
      <c r="J436" s="23"/>
      <c r="K436" s="23"/>
      <c r="L436" s="23"/>
      <c r="M436" s="23"/>
      <c r="N436" s="23" t="s">
        <v>121</v>
      </c>
      <c r="O436" s="23"/>
      <c r="P436" s="23" t="str">
        <f>TEXT([1]기계경비총괄표!G38,"#,##0.#######")</f>
        <v>36,713.</v>
      </c>
      <c r="Q436" s="23"/>
      <c r="R436" s="23"/>
      <c r="S436" s="23"/>
      <c r="T436" s="23"/>
      <c r="U436" s="23"/>
      <c r="V436" s="23"/>
      <c r="W436" s="23"/>
      <c r="X436" s="23"/>
      <c r="Y436" s="23" t="s">
        <v>122</v>
      </c>
      <c r="Z436" s="23"/>
      <c r="AA436" s="23"/>
      <c r="AB436" s="23" t="str">
        <f>TEXT(BK433,"#,##0.#######")</f>
        <v>52.34</v>
      </c>
      <c r="AC436" s="23"/>
      <c r="AD436" s="23"/>
      <c r="AE436" s="23"/>
      <c r="AF436" s="23"/>
      <c r="AG436" s="23" t="s">
        <v>103</v>
      </c>
      <c r="AH436" s="23"/>
      <c r="AI436" s="23" t="str">
        <f>TEXT(TRUNC(P436/BK433,1),"#,##0.#")</f>
        <v>701.4</v>
      </c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  <c r="BX436" s="23"/>
      <c r="BY436" s="23"/>
      <c r="BZ436" s="23"/>
      <c r="CA436" s="23"/>
      <c r="CB436" s="23"/>
      <c r="CC436" s="23"/>
      <c r="CD436" s="23"/>
      <c r="CE436" s="23"/>
      <c r="CF436" s="23"/>
      <c r="CG436" s="23"/>
      <c r="CH436" s="27"/>
      <c r="CI436" s="27" t="str">
        <f>AI436</f>
        <v>701.4</v>
      </c>
      <c r="CJ436" s="28"/>
      <c r="CK436" s="28"/>
      <c r="CL436" s="39"/>
    </row>
    <row r="437" spans="2:90" ht="16.7" customHeight="1" x14ac:dyDescent="0.25">
      <c r="B437" s="26"/>
      <c r="C437" s="23"/>
      <c r="D437" s="23"/>
      <c r="E437" s="23"/>
      <c r="F437" s="23"/>
      <c r="G437" s="23" t="s">
        <v>123</v>
      </c>
      <c r="H437" s="23"/>
      <c r="I437" s="23"/>
      <c r="J437" s="23"/>
      <c r="K437" s="23"/>
      <c r="L437" s="23"/>
      <c r="M437" s="23"/>
      <c r="N437" s="23" t="s">
        <v>121</v>
      </c>
      <c r="O437" s="23"/>
      <c r="P437" s="23" t="str">
        <f>TEXT([1]기계경비총괄표!F38,"#,##0.#######")</f>
        <v>15,363.4</v>
      </c>
      <c r="Q437" s="23"/>
      <c r="R437" s="23"/>
      <c r="S437" s="23"/>
      <c r="T437" s="23"/>
      <c r="U437" s="23"/>
      <c r="V437" s="23"/>
      <c r="W437" s="23"/>
      <c r="X437" s="23"/>
      <c r="Y437" s="23" t="s">
        <v>122</v>
      </c>
      <c r="Z437" s="23"/>
      <c r="AA437" s="23"/>
      <c r="AB437" s="23" t="str">
        <f>TEXT(BK433,"#,##0.#######")</f>
        <v>52.34</v>
      </c>
      <c r="AC437" s="23"/>
      <c r="AD437" s="23"/>
      <c r="AE437" s="23"/>
      <c r="AF437" s="23"/>
      <c r="AG437" s="23" t="s">
        <v>103</v>
      </c>
      <c r="AH437" s="23"/>
      <c r="AI437" s="23" t="str">
        <f>TEXT(TRUNC(P437/BK433,1),"#,##0.#")</f>
        <v>293.5</v>
      </c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  <c r="BX437" s="23"/>
      <c r="BY437" s="23"/>
      <c r="BZ437" s="23"/>
      <c r="CA437" s="23"/>
      <c r="CB437" s="23"/>
      <c r="CC437" s="23"/>
      <c r="CD437" s="23"/>
      <c r="CE437" s="23"/>
      <c r="CF437" s="23"/>
      <c r="CG437" s="23"/>
      <c r="CH437" s="27"/>
      <c r="CI437" s="27"/>
      <c r="CJ437" s="28" t="str">
        <f>AI437</f>
        <v>293.5</v>
      </c>
      <c r="CK437" s="28"/>
      <c r="CL437" s="39"/>
    </row>
    <row r="438" spans="2:90" ht="16.7" customHeight="1" x14ac:dyDescent="0.25">
      <c r="B438" s="26"/>
      <c r="C438" s="23"/>
      <c r="D438" s="23"/>
      <c r="E438" s="23"/>
      <c r="F438" s="23"/>
      <c r="G438" s="23" t="s">
        <v>124</v>
      </c>
      <c r="H438" s="23"/>
      <c r="I438" s="23"/>
      <c r="J438" s="23"/>
      <c r="K438" s="23" t="s">
        <v>125</v>
      </c>
      <c r="L438" s="23"/>
      <c r="M438" s="23"/>
      <c r="N438" s="23" t="s">
        <v>121</v>
      </c>
      <c r="O438" s="23"/>
      <c r="P438" s="23" t="str">
        <f>TEXT([1]기계경비총괄표!H38,"#,##0.#######")</f>
        <v>19,877.2</v>
      </c>
      <c r="Q438" s="23"/>
      <c r="R438" s="23"/>
      <c r="S438" s="23"/>
      <c r="T438" s="23"/>
      <c r="U438" s="23"/>
      <c r="V438" s="23"/>
      <c r="W438" s="23"/>
      <c r="X438" s="23"/>
      <c r="Y438" s="23" t="s">
        <v>122</v>
      </c>
      <c r="Z438" s="23"/>
      <c r="AA438" s="23"/>
      <c r="AB438" s="23" t="str">
        <f>TEXT(BK433,"#,##0.#######")</f>
        <v>52.34</v>
      </c>
      <c r="AC438" s="23"/>
      <c r="AD438" s="23"/>
      <c r="AE438" s="23"/>
      <c r="AF438" s="23"/>
      <c r="AG438" s="23" t="s">
        <v>103</v>
      </c>
      <c r="AH438" s="23"/>
      <c r="AI438" s="23" t="str">
        <f>TEXT(TRUNC(P438/BK433,1),"#,##0.#")</f>
        <v>379.7</v>
      </c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  <c r="BX438" s="23"/>
      <c r="BY438" s="23"/>
      <c r="BZ438" s="23"/>
      <c r="CA438" s="23"/>
      <c r="CB438" s="23"/>
      <c r="CC438" s="23"/>
      <c r="CD438" s="23"/>
      <c r="CE438" s="23"/>
      <c r="CF438" s="23"/>
      <c r="CG438" s="23"/>
      <c r="CH438" s="27"/>
      <c r="CI438" s="27"/>
      <c r="CJ438" s="28"/>
      <c r="CK438" s="28" t="str">
        <f>AI438</f>
        <v>379.7</v>
      </c>
      <c r="CL438" s="39"/>
    </row>
    <row r="439" spans="2:90" ht="16.7" customHeight="1" x14ac:dyDescent="0.25">
      <c r="B439" s="26"/>
      <c r="C439" s="23"/>
      <c r="D439" s="23"/>
      <c r="E439" s="23"/>
      <c r="F439" s="23"/>
      <c r="G439" s="23" t="s">
        <v>126</v>
      </c>
      <c r="H439" s="23"/>
      <c r="I439" s="23"/>
      <c r="J439" s="23"/>
      <c r="K439" s="23" t="s">
        <v>127</v>
      </c>
      <c r="L439" s="23"/>
      <c r="M439" s="23"/>
      <c r="N439" s="23" t="s">
        <v>121</v>
      </c>
      <c r="O439" s="23"/>
      <c r="P439" s="23" t="str">
        <f>TEXT(AI436+AI437+AI438,"#,##0.#######")</f>
        <v>1,374.6</v>
      </c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  <c r="BX439" s="23"/>
      <c r="BY439" s="23"/>
      <c r="BZ439" s="23"/>
      <c r="CA439" s="23"/>
      <c r="CB439" s="23"/>
      <c r="CC439" s="23"/>
      <c r="CD439" s="23"/>
      <c r="CE439" s="23"/>
      <c r="CF439" s="23"/>
      <c r="CG439" s="23"/>
      <c r="CH439" s="27">
        <f>CI436+CJ437+CK438</f>
        <v>1374.6</v>
      </c>
      <c r="CI439" s="27"/>
      <c r="CJ439" s="28"/>
      <c r="CK439" s="28"/>
      <c r="CL439" s="39"/>
    </row>
    <row r="440" spans="2:90" ht="16.7" customHeight="1" x14ac:dyDescent="0.25">
      <c r="B440" s="26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  <c r="BX440" s="23"/>
      <c r="BY440" s="23"/>
      <c r="BZ440" s="23"/>
      <c r="CA440" s="23"/>
      <c r="CB440" s="23"/>
      <c r="CC440" s="23"/>
      <c r="CD440" s="23"/>
      <c r="CE440" s="23"/>
      <c r="CF440" s="23"/>
      <c r="CG440" s="23"/>
      <c r="CH440" s="27"/>
      <c r="CI440" s="27"/>
      <c r="CJ440" s="28"/>
      <c r="CK440" s="28"/>
      <c r="CL440" s="39"/>
    </row>
    <row r="441" spans="2:90" ht="16.7" customHeight="1" x14ac:dyDescent="0.25">
      <c r="B441" s="46" t="s">
        <v>262</v>
      </c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  <c r="AC441" s="47"/>
      <c r="AD441" s="47"/>
      <c r="AE441" s="47"/>
      <c r="AF441" s="47"/>
      <c r="AG441" s="47"/>
      <c r="AH441" s="47"/>
      <c r="AI441" s="47"/>
      <c r="AJ441" s="47"/>
      <c r="AK441" s="47"/>
      <c r="AL441" s="47"/>
      <c r="AM441" s="47"/>
      <c r="AN441" s="47"/>
      <c r="AO441" s="47"/>
      <c r="AP441" s="47"/>
      <c r="AQ441" s="47"/>
      <c r="AR441" s="47"/>
      <c r="AS441" s="47"/>
      <c r="AT441" s="47"/>
      <c r="AU441" s="47"/>
      <c r="AV441" s="47"/>
      <c r="AW441" s="47"/>
      <c r="AX441" s="47"/>
      <c r="AY441" s="47"/>
      <c r="AZ441" s="47"/>
      <c r="BA441" s="47"/>
      <c r="BB441" s="47"/>
      <c r="BC441" s="47"/>
      <c r="BD441" s="47"/>
      <c r="BE441" s="47"/>
      <c r="BF441" s="47"/>
      <c r="BG441" s="47"/>
      <c r="BH441" s="47"/>
      <c r="BI441" s="47"/>
      <c r="BJ441" s="47"/>
      <c r="BK441" s="47"/>
      <c r="BL441" s="47"/>
      <c r="BM441" s="47"/>
      <c r="BN441" s="47"/>
      <c r="BO441" s="47"/>
      <c r="BP441" s="47"/>
      <c r="BQ441" s="47"/>
      <c r="BR441" s="47"/>
      <c r="BS441" s="47"/>
      <c r="BT441" s="47"/>
      <c r="BU441" s="47"/>
      <c r="BV441" s="47"/>
      <c r="BW441" s="47"/>
      <c r="BX441" s="47"/>
      <c r="BY441" s="47"/>
      <c r="BZ441" s="47"/>
      <c r="CA441" s="47"/>
      <c r="CB441" s="47"/>
      <c r="CC441" s="47"/>
      <c r="CD441" s="47"/>
      <c r="CE441" s="47"/>
      <c r="CF441" s="47"/>
      <c r="CG441" s="47"/>
      <c r="CH441" s="48">
        <f>TRUNC(CI441+CJ441+CK441,0)</f>
        <v>1373</v>
      </c>
      <c r="CI441" s="48">
        <f>TRUNC(CI449+CI450+CI455+CI456,0)</f>
        <v>749</v>
      </c>
      <c r="CJ441" s="49">
        <f>TRUNC(CJ444+CJ446+CJ452,0)</f>
        <v>624</v>
      </c>
      <c r="CK441" s="49"/>
      <c r="CL441" s="97">
        <v>621</v>
      </c>
    </row>
    <row r="442" spans="2:90" ht="16.7" customHeight="1" x14ac:dyDescent="0.25">
      <c r="B442" s="26"/>
      <c r="C442" s="23"/>
      <c r="D442" s="23" t="s">
        <v>94</v>
      </c>
      <c r="E442" s="23"/>
      <c r="F442" s="23"/>
      <c r="G442" s="23" t="s">
        <v>123</v>
      </c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  <c r="BX442" s="23"/>
      <c r="BY442" s="23"/>
      <c r="BZ442" s="23"/>
      <c r="CA442" s="23"/>
      <c r="CB442" s="23"/>
      <c r="CC442" s="23"/>
      <c r="CD442" s="23"/>
      <c r="CE442" s="23"/>
      <c r="CF442" s="23"/>
      <c r="CG442" s="23"/>
      <c r="CH442" s="27"/>
      <c r="CI442" s="27"/>
      <c r="CJ442" s="28"/>
      <c r="CK442" s="28"/>
      <c r="CL442" s="39" t="s">
        <v>263</v>
      </c>
    </row>
    <row r="443" spans="2:90" ht="16.7" customHeight="1" x14ac:dyDescent="0.25">
      <c r="B443" s="26"/>
      <c r="C443" s="23"/>
      <c r="D443" s="23"/>
      <c r="E443" s="23"/>
      <c r="F443" s="23"/>
      <c r="G443" s="23" t="s">
        <v>264</v>
      </c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  <c r="BX443" s="23"/>
      <c r="BY443" s="23"/>
      <c r="BZ443" s="23"/>
      <c r="CA443" s="23"/>
      <c r="CB443" s="23"/>
      <c r="CC443" s="23"/>
      <c r="CD443" s="23"/>
      <c r="CE443" s="23"/>
      <c r="CF443" s="23"/>
      <c r="CG443" s="23"/>
      <c r="CH443" s="27"/>
      <c r="CI443" s="27"/>
      <c r="CJ443" s="28"/>
      <c r="CK443" s="28"/>
      <c r="CL443" s="39"/>
    </row>
    <row r="444" spans="2:90" ht="16.7" customHeight="1" x14ac:dyDescent="0.25">
      <c r="B444" s="26"/>
      <c r="C444" s="23"/>
      <c r="D444" s="23"/>
      <c r="E444" s="23"/>
      <c r="F444" s="23"/>
      <c r="G444" s="23"/>
      <c r="H444" s="23" t="str">
        <f>TEXT(1.03,"#,##0.#######")</f>
        <v>1.03</v>
      </c>
      <c r="I444" s="23"/>
      <c r="J444" s="23"/>
      <c r="K444" s="23"/>
      <c r="L444" s="23" t="s">
        <v>265</v>
      </c>
      <c r="M444" s="23"/>
      <c r="N444" s="23"/>
      <c r="O444" s="23"/>
      <c r="P444" s="23" t="s">
        <v>102</v>
      </c>
      <c r="Q444" s="23"/>
      <c r="R444" s="23"/>
      <c r="S444" s="23" t="str">
        <f>TEXT([1]자재단가!M86,"#,##0.#######")</f>
        <v>595,000.</v>
      </c>
      <c r="T444" s="23"/>
      <c r="U444" s="23"/>
      <c r="V444" s="23"/>
      <c r="W444" s="23"/>
      <c r="X444" s="23"/>
      <c r="Y444" s="23" t="s">
        <v>266</v>
      </c>
      <c r="Z444" s="23"/>
      <c r="AA444" s="23"/>
      <c r="AB444" s="23"/>
      <c r="AC444" s="23"/>
      <c r="AD444" s="23"/>
      <c r="AE444" s="23" t="s">
        <v>122</v>
      </c>
      <c r="AF444" s="23"/>
      <c r="AG444" s="23"/>
      <c r="AH444" s="23" t="str">
        <f>TEXT(1000,"#,##0.#######")</f>
        <v>1,000.</v>
      </c>
      <c r="AI444" s="23"/>
      <c r="AJ444" s="23"/>
      <c r="AK444" s="23"/>
      <c r="AL444" s="23"/>
      <c r="AM444" s="23" t="s">
        <v>267</v>
      </c>
      <c r="AN444" s="23"/>
      <c r="AO444" s="23"/>
      <c r="AP444" s="23"/>
      <c r="AQ444" s="23"/>
      <c r="AR444" s="23"/>
      <c r="AS444" s="23" t="s">
        <v>103</v>
      </c>
      <c r="AT444" s="23"/>
      <c r="AU444" s="23"/>
      <c r="AV444" s="23" t="str">
        <f>TEXT(TRUNC(H444*S444/AH444,1),"#,##0.#")</f>
        <v>612.8</v>
      </c>
      <c r="AW444" s="23"/>
      <c r="AX444" s="23"/>
      <c r="AY444" s="23"/>
      <c r="AZ444" s="23"/>
      <c r="BA444" s="23" t="s">
        <v>268</v>
      </c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  <c r="BX444" s="23"/>
      <c r="BY444" s="23"/>
      <c r="BZ444" s="23"/>
      <c r="CA444" s="23"/>
      <c r="CB444" s="23"/>
      <c r="CC444" s="23"/>
      <c r="CD444" s="23"/>
      <c r="CE444" s="23"/>
      <c r="CF444" s="23"/>
      <c r="CG444" s="23"/>
      <c r="CH444" s="27"/>
      <c r="CI444" s="27"/>
      <c r="CJ444" s="28" t="str">
        <f>AV444</f>
        <v>612.8</v>
      </c>
      <c r="CK444" s="28"/>
      <c r="CL444" s="39"/>
    </row>
    <row r="445" spans="2:90" ht="16.7" customHeight="1" x14ac:dyDescent="0.25">
      <c r="B445" s="26"/>
      <c r="C445" s="23"/>
      <c r="D445" s="23"/>
      <c r="E445" s="23"/>
      <c r="F445" s="23"/>
      <c r="G445" s="23" t="s">
        <v>269</v>
      </c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  <c r="BX445" s="23"/>
      <c r="BY445" s="23"/>
      <c r="BZ445" s="23"/>
      <c r="CA445" s="23"/>
      <c r="CB445" s="23"/>
      <c r="CC445" s="23"/>
      <c r="CD445" s="23"/>
      <c r="CE445" s="23"/>
      <c r="CF445" s="23"/>
      <c r="CG445" s="23"/>
      <c r="CH445" s="27"/>
      <c r="CI445" s="27"/>
      <c r="CJ445" s="28"/>
      <c r="CK445" s="28"/>
      <c r="CL445" s="39"/>
    </row>
    <row r="446" spans="2:90" ht="16.7" customHeight="1" x14ac:dyDescent="0.25">
      <c r="B446" s="26"/>
      <c r="C446" s="23"/>
      <c r="D446" s="23"/>
      <c r="E446" s="23"/>
      <c r="F446" s="23"/>
      <c r="G446" s="23"/>
      <c r="H446" s="23" t="str">
        <f>TEXT(5,"#,##0.#######")</f>
        <v>5.</v>
      </c>
      <c r="I446" s="23"/>
      <c r="J446" s="23"/>
      <c r="K446" s="23" t="s">
        <v>270</v>
      </c>
      <c r="L446" s="23"/>
      <c r="M446" s="23"/>
      <c r="N446" s="23" t="s">
        <v>102</v>
      </c>
      <c r="O446" s="23"/>
      <c r="P446" s="23"/>
      <c r="Q446" s="23" t="str">
        <f>TEXT([1]자재단가!M88,"#,##0.#######")</f>
        <v>1,240.</v>
      </c>
      <c r="R446" s="23"/>
      <c r="S446" s="23"/>
      <c r="T446" s="23"/>
      <c r="U446" s="23"/>
      <c r="V446" s="23"/>
      <c r="W446" s="23" t="s">
        <v>268</v>
      </c>
      <c r="X446" s="23"/>
      <c r="Y446" s="23"/>
      <c r="Z446" s="23"/>
      <c r="AA446" s="23"/>
      <c r="AB446" s="23"/>
      <c r="AC446" s="23" t="s">
        <v>122</v>
      </c>
      <c r="AD446" s="23"/>
      <c r="AE446" s="23"/>
      <c r="AF446" s="23" t="str">
        <f>TEXT(1000,"#,##0.#######")</f>
        <v>1,000.</v>
      </c>
      <c r="AG446" s="23"/>
      <c r="AH446" s="23"/>
      <c r="AI446" s="23"/>
      <c r="AJ446" s="23"/>
      <c r="AK446" s="23" t="s">
        <v>267</v>
      </c>
      <c r="AL446" s="23"/>
      <c r="AM446" s="23"/>
      <c r="AN446" s="23"/>
      <c r="AO446" s="23"/>
      <c r="AP446" s="23"/>
      <c r="AQ446" s="23" t="s">
        <v>103</v>
      </c>
      <c r="AR446" s="23"/>
      <c r="AS446" s="23"/>
      <c r="AT446" s="23" t="str">
        <f>TEXT(TRUNC(H446*Q446/AF446,1),"#,##0.#")</f>
        <v>6.2</v>
      </c>
      <c r="AU446" s="23"/>
      <c r="AV446" s="23"/>
      <c r="AW446" s="23"/>
      <c r="AX446" s="23" t="s">
        <v>268</v>
      </c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  <c r="BX446" s="23"/>
      <c r="BY446" s="23"/>
      <c r="BZ446" s="23"/>
      <c r="CA446" s="23"/>
      <c r="CB446" s="23"/>
      <c r="CC446" s="23"/>
      <c r="CD446" s="23"/>
      <c r="CE446" s="23"/>
      <c r="CF446" s="23"/>
      <c r="CG446" s="23"/>
      <c r="CH446" s="27"/>
      <c r="CI446" s="27"/>
      <c r="CJ446" s="28" t="str">
        <f>AT446</f>
        <v>6.2</v>
      </c>
      <c r="CK446" s="28"/>
      <c r="CL446" s="39"/>
    </row>
    <row r="447" spans="2:90" ht="16.7" customHeight="1" x14ac:dyDescent="0.25">
      <c r="B447" s="26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  <c r="BX447" s="23"/>
      <c r="BY447" s="23"/>
      <c r="BZ447" s="23"/>
      <c r="CA447" s="23"/>
      <c r="CB447" s="23"/>
      <c r="CC447" s="23"/>
      <c r="CD447" s="23"/>
      <c r="CE447" s="23"/>
      <c r="CF447" s="23"/>
      <c r="CG447" s="23"/>
      <c r="CH447" s="27"/>
      <c r="CI447" s="27"/>
      <c r="CJ447" s="28"/>
      <c r="CK447" s="28"/>
      <c r="CL447" s="39"/>
    </row>
    <row r="448" spans="2:90" ht="16.7" customHeight="1" x14ac:dyDescent="0.25">
      <c r="B448" s="26"/>
      <c r="C448" s="23"/>
      <c r="D448" s="23" t="s">
        <v>168</v>
      </c>
      <c r="E448" s="23"/>
      <c r="F448" s="23"/>
      <c r="G448" s="23" t="s">
        <v>271</v>
      </c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  <c r="BX448" s="23"/>
      <c r="BY448" s="23"/>
      <c r="BZ448" s="23"/>
      <c r="CA448" s="23"/>
      <c r="CB448" s="23"/>
      <c r="CC448" s="23"/>
      <c r="CD448" s="23"/>
      <c r="CE448" s="23"/>
      <c r="CF448" s="23"/>
      <c r="CG448" s="23"/>
      <c r="CH448" s="27"/>
      <c r="CI448" s="27"/>
      <c r="CJ448" s="28"/>
      <c r="CK448" s="28"/>
      <c r="CL448" s="39"/>
    </row>
    <row r="449" spans="2:90" ht="16.7" customHeight="1" x14ac:dyDescent="0.25">
      <c r="B449" s="26"/>
      <c r="C449" s="23"/>
      <c r="D449" s="29"/>
      <c r="E449" s="23"/>
      <c r="F449" s="23"/>
      <c r="G449" s="23"/>
      <c r="H449" s="23" t="s">
        <v>272</v>
      </c>
      <c r="I449" s="23"/>
      <c r="J449" s="23"/>
      <c r="K449" s="23"/>
      <c r="L449" s="23"/>
      <c r="M449" s="23"/>
      <c r="N449" s="23"/>
      <c r="O449" s="23"/>
      <c r="P449" s="23" t="str">
        <f>TEXT([1]노임및중기단가!I14,"#,##0.#######")</f>
        <v>219,392.</v>
      </c>
      <c r="Q449" s="23"/>
      <c r="R449" s="23"/>
      <c r="S449" s="23"/>
      <c r="T449" s="23"/>
      <c r="U449" s="23"/>
      <c r="V449" s="23"/>
      <c r="W449" s="23" t="s">
        <v>102</v>
      </c>
      <c r="X449" s="23"/>
      <c r="Y449" s="23"/>
      <c r="Z449" s="23" t="str">
        <f>TEXT(1.07,"#,##0.#######")</f>
        <v>1.07</v>
      </c>
      <c r="AA449" s="23"/>
      <c r="AB449" s="23"/>
      <c r="AC449" s="23"/>
      <c r="AD449" s="23" t="s">
        <v>243</v>
      </c>
      <c r="AE449" s="23"/>
      <c r="AF449" s="23"/>
      <c r="AG449" s="23" t="s">
        <v>122</v>
      </c>
      <c r="AH449" s="23"/>
      <c r="AI449" s="23"/>
      <c r="AJ449" s="23" t="str">
        <f>TEXT(1000,"#,##0.#######")</f>
        <v>1,000.</v>
      </c>
      <c r="AK449" s="23"/>
      <c r="AL449" s="23"/>
      <c r="AM449" s="23"/>
      <c r="AN449" s="23"/>
      <c r="AO449" s="23" t="s">
        <v>267</v>
      </c>
      <c r="AP449" s="23"/>
      <c r="AQ449" s="23"/>
      <c r="AR449" s="23"/>
      <c r="AS449" s="23"/>
      <c r="AT449" s="23"/>
      <c r="AU449" s="23" t="s">
        <v>103</v>
      </c>
      <c r="AV449" s="23"/>
      <c r="AW449" s="23"/>
      <c r="AX449" s="23" t="str">
        <f>TEXT(TRUNC(P449*Z449/(AJ449),1),"#,##0.#")</f>
        <v>234.7</v>
      </c>
      <c r="AY449" s="23"/>
      <c r="AZ449" s="23"/>
      <c r="BA449" s="23"/>
      <c r="BB449" s="23"/>
      <c r="BC449" s="23" t="s">
        <v>268</v>
      </c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  <c r="BX449" s="23"/>
      <c r="BY449" s="23"/>
      <c r="BZ449" s="23"/>
      <c r="CA449" s="23"/>
      <c r="CB449" s="23"/>
      <c r="CC449" s="23"/>
      <c r="CD449" s="23"/>
      <c r="CE449" s="23"/>
      <c r="CF449" s="23"/>
      <c r="CG449" s="23"/>
      <c r="CH449" s="27"/>
      <c r="CI449" s="27" t="str">
        <f>AX449</f>
        <v>234.7</v>
      </c>
      <c r="CJ449" s="28"/>
      <c r="CK449" s="28"/>
      <c r="CL449" s="39"/>
    </row>
    <row r="450" spans="2:90" ht="16.7" customHeight="1" x14ac:dyDescent="0.25">
      <c r="B450" s="26"/>
      <c r="C450" s="23"/>
      <c r="D450" s="23"/>
      <c r="E450" s="23"/>
      <c r="F450" s="23"/>
      <c r="G450" s="23"/>
      <c r="H450" s="23" t="s">
        <v>242</v>
      </c>
      <c r="I450" s="23"/>
      <c r="J450" s="23"/>
      <c r="K450" s="23"/>
      <c r="L450" s="23"/>
      <c r="M450" s="23"/>
      <c r="N450" s="23"/>
      <c r="O450" s="23"/>
      <c r="P450" s="23" t="str">
        <f>TEXT([1]노임및중기단가!I8,"#,##0.#######")</f>
        <v>138,290.</v>
      </c>
      <c r="Q450" s="23"/>
      <c r="R450" s="23"/>
      <c r="S450" s="23"/>
      <c r="T450" s="23"/>
      <c r="U450" s="23"/>
      <c r="V450" s="23"/>
      <c r="W450" s="23" t="s">
        <v>102</v>
      </c>
      <c r="X450" s="23"/>
      <c r="Y450" s="23"/>
      <c r="Z450" s="23" t="str">
        <f>TEXT(0.35,"#,##0.#######")</f>
        <v>0.35</v>
      </c>
      <c r="AA450" s="23"/>
      <c r="AB450" s="23"/>
      <c r="AC450" s="23"/>
      <c r="AD450" s="23" t="s">
        <v>243</v>
      </c>
      <c r="AE450" s="23"/>
      <c r="AF450" s="23"/>
      <c r="AG450" s="23" t="s">
        <v>122</v>
      </c>
      <c r="AH450" s="23"/>
      <c r="AI450" s="23"/>
      <c r="AJ450" s="23" t="str">
        <f>TEXT(1000,"#,##0.#######")</f>
        <v>1,000.</v>
      </c>
      <c r="AK450" s="23"/>
      <c r="AL450" s="23"/>
      <c r="AM450" s="23"/>
      <c r="AN450" s="23"/>
      <c r="AO450" s="23" t="s">
        <v>267</v>
      </c>
      <c r="AP450" s="23"/>
      <c r="AQ450" s="23"/>
      <c r="AR450" s="23"/>
      <c r="AS450" s="23"/>
      <c r="AT450" s="23"/>
      <c r="AU450" s="23" t="s">
        <v>103</v>
      </c>
      <c r="AV450" s="23"/>
      <c r="AW450" s="23"/>
      <c r="AX450" s="23" t="str">
        <f>TEXT(TRUNC(P450*Z450/(AJ450),1),"#,##0.#")</f>
        <v>48.4</v>
      </c>
      <c r="AY450" s="23"/>
      <c r="AZ450" s="23"/>
      <c r="BA450" s="23"/>
      <c r="BB450" s="23"/>
      <c r="BC450" s="23" t="s">
        <v>268</v>
      </c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  <c r="BX450" s="23"/>
      <c r="BY450" s="23"/>
      <c r="BZ450" s="23"/>
      <c r="CA450" s="23"/>
      <c r="CB450" s="23"/>
      <c r="CC450" s="23"/>
      <c r="CD450" s="34"/>
      <c r="CE450" s="34"/>
      <c r="CF450" s="34"/>
      <c r="CG450" s="34"/>
      <c r="CH450" s="27"/>
      <c r="CI450" s="27" t="str">
        <f>AX450</f>
        <v>48.4</v>
      </c>
      <c r="CJ450" s="28"/>
      <c r="CK450" s="28"/>
      <c r="CL450" s="57"/>
    </row>
    <row r="451" spans="2:90" ht="16.7" customHeight="1" x14ac:dyDescent="0.25">
      <c r="B451" s="26"/>
      <c r="C451" s="23"/>
      <c r="D451" s="23"/>
      <c r="E451" s="23"/>
      <c r="F451" s="23"/>
      <c r="G451" s="23"/>
      <c r="H451" s="23" t="s">
        <v>273</v>
      </c>
      <c r="I451" s="23"/>
      <c r="J451" s="23"/>
      <c r="K451" s="23"/>
      <c r="L451" s="23"/>
      <c r="M451" s="23"/>
      <c r="N451" s="23"/>
      <c r="O451" s="23"/>
      <c r="P451" s="23" t="s">
        <v>274</v>
      </c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  <c r="BX451" s="23"/>
      <c r="BY451" s="23"/>
      <c r="BZ451" s="23"/>
      <c r="CA451" s="23"/>
      <c r="CB451" s="23"/>
      <c r="CC451" s="23"/>
      <c r="CD451" s="34"/>
      <c r="CE451" s="34"/>
      <c r="CF451" s="34"/>
      <c r="CG451" s="34"/>
      <c r="CH451" s="27"/>
      <c r="CI451" s="27"/>
      <c r="CJ451" s="28"/>
      <c r="CK451" s="28"/>
      <c r="CL451" s="57"/>
    </row>
    <row r="452" spans="2:90" ht="16.7" customHeight="1" x14ac:dyDescent="0.25">
      <c r="B452" s="26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 t="s">
        <v>96</v>
      </c>
      <c r="P452" s="23" t="str">
        <f>TEXT(TRUNC(AX449,1),"#,##0.#")</f>
        <v>234.7</v>
      </c>
      <c r="Q452" s="23"/>
      <c r="R452" s="23"/>
      <c r="S452" s="23"/>
      <c r="T452" s="23"/>
      <c r="U452" s="23" t="s">
        <v>97</v>
      </c>
      <c r="V452" s="23"/>
      <c r="W452" s="23"/>
      <c r="X452" s="23" t="str">
        <f>TEXT(TRUNC(AX450,1),"#,##0.#")</f>
        <v>48.4</v>
      </c>
      <c r="Y452" s="23"/>
      <c r="Z452" s="23"/>
      <c r="AA452" s="23" t="s">
        <v>101</v>
      </c>
      <c r="AB452" s="23"/>
      <c r="AC452" s="23" t="s">
        <v>102</v>
      </c>
      <c r="AD452" s="23"/>
      <c r="AE452" s="23"/>
      <c r="AF452" s="23" t="str">
        <f>TEXT(0.02,"#,##0.#######")</f>
        <v>0.02</v>
      </c>
      <c r="AG452" s="23"/>
      <c r="AH452" s="23"/>
      <c r="AI452" s="23"/>
      <c r="AJ452" s="23" t="s">
        <v>103</v>
      </c>
      <c r="AK452" s="23"/>
      <c r="AL452" s="23"/>
      <c r="AM452" s="23" t="str">
        <f>TEXT(TRUNC((P452+X452)*AF452,1),"#,##0.#")</f>
        <v>5.6</v>
      </c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  <c r="BX452" s="23"/>
      <c r="BY452" s="23"/>
      <c r="BZ452" s="23"/>
      <c r="CA452" s="23"/>
      <c r="CB452" s="23"/>
      <c r="CC452" s="23"/>
      <c r="CD452" s="34"/>
      <c r="CE452" s="34"/>
      <c r="CF452" s="34"/>
      <c r="CG452" s="34"/>
      <c r="CH452" s="27"/>
      <c r="CI452" s="27"/>
      <c r="CJ452" s="28" t="str">
        <f>AM452</f>
        <v>5.6</v>
      </c>
      <c r="CK452" s="28"/>
      <c r="CL452" s="57"/>
    </row>
    <row r="453" spans="2:90" ht="16.7" customHeight="1" x14ac:dyDescent="0.25">
      <c r="B453" s="26"/>
      <c r="C453" s="23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  <c r="AQ453" s="29"/>
      <c r="AR453" s="29"/>
      <c r="AS453" s="29"/>
      <c r="AT453" s="29"/>
      <c r="AU453" s="29"/>
      <c r="AV453" s="29"/>
      <c r="AW453" s="29"/>
      <c r="AX453" s="29"/>
      <c r="AY453" s="29"/>
      <c r="AZ453" s="29"/>
      <c r="BA453" s="29"/>
      <c r="BB453" s="29"/>
      <c r="BC453" s="29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  <c r="BX453" s="23"/>
      <c r="BY453" s="23"/>
      <c r="BZ453" s="23"/>
      <c r="CA453" s="23"/>
      <c r="CB453" s="23"/>
      <c r="CC453" s="23"/>
      <c r="CD453" s="34"/>
      <c r="CE453" s="34"/>
      <c r="CF453" s="34"/>
      <c r="CG453" s="34"/>
      <c r="CH453" s="27"/>
      <c r="CI453" s="27"/>
      <c r="CJ453" s="28"/>
      <c r="CK453" s="28"/>
      <c r="CL453" s="57"/>
    </row>
    <row r="454" spans="2:90" ht="16.7" customHeight="1" x14ac:dyDescent="0.25">
      <c r="B454" s="22"/>
      <c r="C454" s="23"/>
      <c r="D454" s="23" t="s">
        <v>237</v>
      </c>
      <c r="E454" s="23"/>
      <c r="F454" s="23"/>
      <c r="G454" s="23" t="s">
        <v>275</v>
      </c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  <c r="BP454" s="23"/>
      <c r="BQ454" s="23"/>
      <c r="BR454" s="23"/>
      <c r="BS454" s="23"/>
      <c r="BT454" s="23"/>
      <c r="BU454" s="23"/>
      <c r="BV454" s="23"/>
      <c r="BW454" s="23"/>
      <c r="BX454" s="23"/>
      <c r="BY454" s="23"/>
      <c r="BZ454" s="23"/>
      <c r="CA454" s="23"/>
      <c r="CB454" s="23"/>
      <c r="CC454" s="23"/>
      <c r="CD454" s="23"/>
      <c r="CE454" s="23"/>
      <c r="CF454" s="23"/>
      <c r="CG454" s="23"/>
      <c r="CH454" s="24"/>
      <c r="CI454" s="24"/>
      <c r="CJ454" s="25"/>
      <c r="CK454" s="52"/>
      <c r="CL454" s="56"/>
    </row>
    <row r="455" spans="2:90" ht="16.7" customHeight="1" x14ac:dyDescent="0.25">
      <c r="B455" s="22"/>
      <c r="C455" s="23"/>
      <c r="D455" s="23"/>
      <c r="E455" s="23"/>
      <c r="F455" s="23"/>
      <c r="G455" s="23"/>
      <c r="H455" s="23" t="s">
        <v>272</v>
      </c>
      <c r="I455" s="23"/>
      <c r="J455" s="23"/>
      <c r="K455" s="23"/>
      <c r="L455" s="23"/>
      <c r="M455" s="23"/>
      <c r="N455" s="23"/>
      <c r="O455" s="23"/>
      <c r="P455" s="23" t="str">
        <f>TEXT([1]노임및중기단가!I14,"#,##0.#######")</f>
        <v>219,392.</v>
      </c>
      <c r="Q455" s="23"/>
      <c r="R455" s="23"/>
      <c r="S455" s="23"/>
      <c r="T455" s="23"/>
      <c r="U455" s="23"/>
      <c r="V455" s="23"/>
      <c r="W455" s="23" t="s">
        <v>102</v>
      </c>
      <c r="X455" s="23"/>
      <c r="Y455" s="23"/>
      <c r="Z455" s="23" t="str">
        <f>TEXT(1.69,"#,##0.#######")</f>
        <v>1.69</v>
      </c>
      <c r="AA455" s="23"/>
      <c r="AB455" s="23"/>
      <c r="AC455" s="23"/>
      <c r="AD455" s="23" t="s">
        <v>243</v>
      </c>
      <c r="AE455" s="23"/>
      <c r="AF455" s="23"/>
      <c r="AG455" s="23" t="s">
        <v>122</v>
      </c>
      <c r="AH455" s="23"/>
      <c r="AI455" s="23"/>
      <c r="AJ455" s="23" t="str">
        <f>TEXT(1000,"#,##0.#######")</f>
        <v>1,000.</v>
      </c>
      <c r="AK455" s="23"/>
      <c r="AL455" s="23"/>
      <c r="AM455" s="23"/>
      <c r="AN455" s="23"/>
      <c r="AO455" s="23" t="s">
        <v>267</v>
      </c>
      <c r="AP455" s="23"/>
      <c r="AQ455" s="23"/>
      <c r="AR455" s="23"/>
      <c r="AS455" s="23"/>
      <c r="AT455" s="23"/>
      <c r="AU455" s="23" t="s">
        <v>103</v>
      </c>
      <c r="AV455" s="23"/>
      <c r="AW455" s="23"/>
      <c r="AX455" s="23" t="str">
        <f>TEXT(TRUNC(P455*Z455/(AJ455),1),"#,##0.#")</f>
        <v>370.7</v>
      </c>
      <c r="AY455" s="23"/>
      <c r="AZ455" s="23"/>
      <c r="BA455" s="23"/>
      <c r="BB455" s="23"/>
      <c r="BC455" s="23" t="s">
        <v>268</v>
      </c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  <c r="BX455" s="23"/>
      <c r="BY455" s="23"/>
      <c r="BZ455" s="23"/>
      <c r="CA455" s="23"/>
      <c r="CB455" s="23"/>
      <c r="CC455" s="23"/>
      <c r="CD455" s="23"/>
      <c r="CE455" s="23"/>
      <c r="CF455" s="23"/>
      <c r="CG455" s="23"/>
      <c r="CH455" s="24"/>
      <c r="CI455" s="45" t="str">
        <f>AX455</f>
        <v>370.7</v>
      </c>
      <c r="CJ455" s="25"/>
      <c r="CK455" s="25"/>
      <c r="CL455" s="56"/>
    </row>
    <row r="456" spans="2:90" ht="16.7" customHeight="1" x14ac:dyDescent="0.25">
      <c r="B456" s="22"/>
      <c r="C456" s="23"/>
      <c r="D456" s="23"/>
      <c r="E456" s="23"/>
      <c r="F456" s="23"/>
      <c r="G456" s="23"/>
      <c r="H456" s="23" t="s">
        <v>242</v>
      </c>
      <c r="I456" s="23"/>
      <c r="J456" s="23"/>
      <c r="K456" s="23"/>
      <c r="L456" s="23"/>
      <c r="M456" s="23"/>
      <c r="N456" s="23"/>
      <c r="O456" s="23"/>
      <c r="P456" s="23" t="str">
        <f>TEXT([1]노임및중기단가!I8,"#,##0.#######")</f>
        <v>138,290.</v>
      </c>
      <c r="Q456" s="23"/>
      <c r="R456" s="23"/>
      <c r="S456" s="23"/>
      <c r="T456" s="23"/>
      <c r="U456" s="23"/>
      <c r="V456" s="23"/>
      <c r="W456" s="23" t="s">
        <v>102</v>
      </c>
      <c r="X456" s="23"/>
      <c r="Y456" s="23"/>
      <c r="Z456" s="23" t="str">
        <f>TEXT(0.69,"#,##0.#######")</f>
        <v>0.69</v>
      </c>
      <c r="AA456" s="23"/>
      <c r="AB456" s="23"/>
      <c r="AC456" s="23"/>
      <c r="AD456" s="23" t="s">
        <v>243</v>
      </c>
      <c r="AE456" s="23"/>
      <c r="AF456" s="23"/>
      <c r="AG456" s="23" t="s">
        <v>122</v>
      </c>
      <c r="AH456" s="23"/>
      <c r="AI456" s="23"/>
      <c r="AJ456" s="23" t="str">
        <f>TEXT(1000,"#,##0.#######")</f>
        <v>1,000.</v>
      </c>
      <c r="AK456" s="23"/>
      <c r="AL456" s="23"/>
      <c r="AM456" s="23"/>
      <c r="AN456" s="23"/>
      <c r="AO456" s="23" t="s">
        <v>267</v>
      </c>
      <c r="AP456" s="23"/>
      <c r="AQ456" s="23"/>
      <c r="AR456" s="23"/>
      <c r="AS456" s="23"/>
      <c r="AT456" s="23"/>
      <c r="AU456" s="23" t="s">
        <v>103</v>
      </c>
      <c r="AV456" s="23"/>
      <c r="AW456" s="23"/>
      <c r="AX456" s="23" t="str">
        <f>TEXT(TRUNC(P456*Z456/(AJ456),1),"#,##0.#")</f>
        <v>95.4</v>
      </c>
      <c r="AY456" s="23"/>
      <c r="AZ456" s="23"/>
      <c r="BA456" s="23"/>
      <c r="BB456" s="23"/>
      <c r="BC456" s="23" t="s">
        <v>268</v>
      </c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  <c r="BX456" s="23"/>
      <c r="BY456" s="23"/>
      <c r="BZ456" s="23"/>
      <c r="CA456" s="23"/>
      <c r="CB456" s="23"/>
      <c r="CC456" s="23"/>
      <c r="CD456" s="23"/>
      <c r="CE456" s="23"/>
      <c r="CF456" s="23"/>
      <c r="CG456" s="23"/>
      <c r="CH456" s="27"/>
      <c r="CI456" s="27" t="str">
        <f>AX456</f>
        <v>95.4</v>
      </c>
      <c r="CJ456" s="28"/>
      <c r="CK456" s="28"/>
      <c r="CL456" s="39"/>
    </row>
    <row r="457" spans="2:90" ht="16.7" customHeight="1" x14ac:dyDescent="0.25">
      <c r="B457" s="22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  <c r="BX457" s="23"/>
      <c r="BY457" s="23"/>
      <c r="BZ457" s="23"/>
      <c r="CA457" s="23"/>
      <c r="CB457" s="23"/>
      <c r="CC457" s="23"/>
      <c r="CD457" s="23"/>
      <c r="CE457" s="23"/>
      <c r="CF457" s="23"/>
      <c r="CG457" s="23"/>
      <c r="CH457" s="27"/>
      <c r="CI457" s="27"/>
      <c r="CJ457" s="28"/>
      <c r="CK457" s="28"/>
      <c r="CL457" s="39"/>
    </row>
    <row r="458" spans="2:90" ht="16.7" customHeight="1" x14ac:dyDescent="0.25">
      <c r="B458" s="22"/>
      <c r="C458" s="23"/>
      <c r="D458" s="23"/>
      <c r="E458" s="23"/>
      <c r="F458" s="23"/>
      <c r="G458" s="23" t="s">
        <v>120</v>
      </c>
      <c r="H458" s="23"/>
      <c r="I458" s="23"/>
      <c r="J458" s="23"/>
      <c r="K458" s="23"/>
      <c r="L458" s="23"/>
      <c r="M458" s="23"/>
      <c r="N458" s="23" t="s">
        <v>121</v>
      </c>
      <c r="O458" s="23"/>
      <c r="P458" s="23" t="str">
        <f>AX449</f>
        <v>234.7</v>
      </c>
      <c r="Q458" s="23"/>
      <c r="R458" s="23"/>
      <c r="S458" s="23"/>
      <c r="T458" s="23"/>
      <c r="U458" s="23" t="s">
        <v>97</v>
      </c>
      <c r="V458" s="23"/>
      <c r="W458" s="29"/>
      <c r="X458" s="23" t="str">
        <f>AX450</f>
        <v>48.4</v>
      </c>
      <c r="Y458" s="23"/>
      <c r="Z458" s="23"/>
      <c r="AA458" s="23"/>
      <c r="AB458" s="23" t="s">
        <v>97</v>
      </c>
      <c r="AC458" s="23"/>
      <c r="AD458" s="23"/>
      <c r="AE458" s="23" t="str">
        <f>AX455</f>
        <v>370.7</v>
      </c>
      <c r="AF458" s="23"/>
      <c r="AG458" s="23"/>
      <c r="AH458" s="23"/>
      <c r="AI458" s="23" t="s">
        <v>97</v>
      </c>
      <c r="AJ458" s="23"/>
      <c r="AK458" s="23"/>
      <c r="AL458" s="23" t="str">
        <f>AX456</f>
        <v>95.4</v>
      </c>
      <c r="AM458" s="23"/>
      <c r="AN458" s="23"/>
      <c r="AO458" s="23"/>
      <c r="AP458" s="23" t="s">
        <v>103</v>
      </c>
      <c r="AQ458" s="23"/>
      <c r="AR458" s="23" t="str">
        <f>TEXT(TRUNC(P458+X458+AE458+AL458,1),"#,##0.#")</f>
        <v>749.2</v>
      </c>
      <c r="AS458" s="23"/>
      <c r="AT458" s="23"/>
      <c r="AU458" s="23"/>
      <c r="AV458" s="29"/>
      <c r="AW458" s="29"/>
      <c r="AX458" s="29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  <c r="BX458" s="23"/>
      <c r="BY458" s="23"/>
      <c r="BZ458" s="23"/>
      <c r="CA458" s="23"/>
      <c r="CB458" s="23"/>
      <c r="CC458" s="23"/>
      <c r="CD458" s="23"/>
      <c r="CE458" s="23"/>
      <c r="CF458" s="23"/>
      <c r="CG458" s="23"/>
      <c r="CH458" s="27"/>
      <c r="CI458" s="27"/>
      <c r="CJ458" s="28"/>
      <c r="CK458" s="28"/>
      <c r="CL458" s="39"/>
    </row>
    <row r="459" spans="2:90" ht="16.7" customHeight="1" x14ac:dyDescent="0.25">
      <c r="B459" s="22"/>
      <c r="C459" s="23"/>
      <c r="D459" s="29"/>
      <c r="E459" s="29"/>
      <c r="F459" s="29"/>
      <c r="G459" s="23" t="s">
        <v>123</v>
      </c>
      <c r="H459" s="23"/>
      <c r="I459" s="23"/>
      <c r="J459" s="23"/>
      <c r="K459" s="23"/>
      <c r="L459" s="23"/>
      <c r="M459" s="23"/>
      <c r="N459" s="23" t="s">
        <v>121</v>
      </c>
      <c r="O459" s="23"/>
      <c r="P459" s="23" t="str">
        <f>AV444</f>
        <v>612.8</v>
      </c>
      <c r="Q459" s="23"/>
      <c r="R459" s="23"/>
      <c r="S459" s="23"/>
      <c r="T459" s="23"/>
      <c r="U459" s="23" t="s">
        <v>97</v>
      </c>
      <c r="V459" s="23"/>
      <c r="W459" s="29"/>
      <c r="X459" s="23" t="str">
        <f>AT446</f>
        <v>6.2</v>
      </c>
      <c r="Y459" s="23"/>
      <c r="Z459" s="23"/>
      <c r="AA459" s="23"/>
      <c r="AB459" s="23" t="s">
        <v>97</v>
      </c>
      <c r="AC459" s="23"/>
      <c r="AD459" s="23"/>
      <c r="AE459" s="23" t="str">
        <f>AM452</f>
        <v>5.6</v>
      </c>
      <c r="AF459" s="23"/>
      <c r="AG459" s="23"/>
      <c r="AH459" s="23"/>
      <c r="AI459" s="23"/>
      <c r="AJ459" s="23"/>
      <c r="AK459" s="23"/>
      <c r="AL459" s="23">
        <f>AX457</f>
        <v>0</v>
      </c>
      <c r="AM459" s="23"/>
      <c r="AN459" s="29"/>
      <c r="AO459" s="29"/>
      <c r="AP459" s="23" t="s">
        <v>103</v>
      </c>
      <c r="AQ459" s="23"/>
      <c r="AR459" s="23" t="str">
        <f>TEXT(TRUNC(P459+X459+AE459+AL459,1),"#,##0.#")</f>
        <v>624.6</v>
      </c>
      <c r="AS459" s="23"/>
      <c r="AT459" s="23"/>
      <c r="AU459" s="23"/>
      <c r="AV459" s="29"/>
      <c r="AW459" s="29"/>
      <c r="AX459" s="29"/>
      <c r="AY459" s="29"/>
      <c r="AZ459" s="29"/>
      <c r="BA459" s="29"/>
      <c r="BB459" s="29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  <c r="BX459" s="23"/>
      <c r="BY459" s="23"/>
      <c r="BZ459" s="23"/>
      <c r="CA459" s="23"/>
      <c r="CB459" s="23"/>
      <c r="CC459" s="23"/>
      <c r="CD459" s="23"/>
      <c r="CE459" s="23"/>
      <c r="CF459" s="23"/>
      <c r="CG459" s="23"/>
      <c r="CH459" s="27"/>
      <c r="CI459" s="27"/>
      <c r="CJ459" s="28"/>
      <c r="CK459" s="28"/>
      <c r="CL459" s="39"/>
    </row>
    <row r="460" spans="2:90" ht="16.7" customHeight="1" x14ac:dyDescent="0.25">
      <c r="B460" s="22"/>
      <c r="C460" s="23"/>
      <c r="D460" s="29"/>
      <c r="E460" s="29"/>
      <c r="F460" s="29"/>
      <c r="G460" s="23" t="s">
        <v>124</v>
      </c>
      <c r="H460" s="23"/>
      <c r="I460" s="23"/>
      <c r="J460" s="23"/>
      <c r="K460" s="23" t="s">
        <v>125</v>
      </c>
      <c r="L460" s="23"/>
      <c r="M460" s="23"/>
      <c r="N460" s="23" t="s">
        <v>121</v>
      </c>
      <c r="O460" s="23"/>
      <c r="P460" s="23"/>
      <c r="Q460" s="23"/>
      <c r="R460" s="23"/>
      <c r="S460" s="23"/>
      <c r="T460" s="23"/>
      <c r="U460" s="23"/>
      <c r="V460" s="23"/>
      <c r="W460" s="29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9"/>
      <c r="AO460" s="29"/>
      <c r="AP460" s="23" t="s">
        <v>103</v>
      </c>
      <c r="AQ460" s="23"/>
      <c r="AR460" s="23" t="str">
        <f>TEXT(TRUNC(P460+X460+AE460+AL460,1),"#,##0.#")</f>
        <v>0.</v>
      </c>
      <c r="AS460" s="23"/>
      <c r="AT460" s="23"/>
      <c r="AU460" s="23"/>
      <c r="AV460" s="29"/>
      <c r="AW460" s="29"/>
      <c r="AX460" s="29"/>
      <c r="AY460" s="29"/>
      <c r="AZ460" s="29"/>
      <c r="BA460" s="29"/>
      <c r="BB460" s="29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  <c r="BX460" s="23"/>
      <c r="BY460" s="23"/>
      <c r="BZ460" s="23"/>
      <c r="CA460" s="23"/>
      <c r="CB460" s="23"/>
      <c r="CC460" s="23"/>
      <c r="CD460" s="23"/>
      <c r="CE460" s="23"/>
      <c r="CF460" s="23"/>
      <c r="CG460" s="23"/>
      <c r="CH460" s="27"/>
      <c r="CI460" s="27"/>
      <c r="CJ460" s="28"/>
      <c r="CK460" s="28"/>
      <c r="CL460" s="39"/>
    </row>
    <row r="461" spans="2:90" ht="16.7" customHeight="1" x14ac:dyDescent="0.25">
      <c r="B461" s="22"/>
      <c r="C461" s="23"/>
      <c r="D461" s="29"/>
      <c r="E461" s="29"/>
      <c r="F461" s="29"/>
      <c r="G461" s="23" t="s">
        <v>126</v>
      </c>
      <c r="H461" s="23"/>
      <c r="I461" s="23"/>
      <c r="J461" s="23"/>
      <c r="K461" s="23" t="s">
        <v>127</v>
      </c>
      <c r="L461" s="23"/>
      <c r="M461" s="23"/>
      <c r="N461" s="23" t="s">
        <v>121</v>
      </c>
      <c r="O461" s="23"/>
      <c r="P461" s="23" t="str">
        <f>TEXT(AR458+AR459+AR460,"#,##0.#######")</f>
        <v>1,373.8</v>
      </c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9"/>
      <c r="AZ461" s="29"/>
      <c r="BA461" s="29"/>
      <c r="BB461" s="29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  <c r="BX461" s="23"/>
      <c r="BY461" s="23"/>
      <c r="BZ461" s="23"/>
      <c r="CA461" s="23"/>
      <c r="CB461" s="23"/>
      <c r="CC461" s="23"/>
      <c r="CD461" s="23"/>
      <c r="CE461" s="23"/>
      <c r="CF461" s="23"/>
      <c r="CG461" s="23"/>
      <c r="CH461" s="27">
        <f>CI461+CJ461+CK461</f>
        <v>1373.8000000000002</v>
      </c>
      <c r="CI461" s="27" t="str">
        <f>AR458</f>
        <v>749.2</v>
      </c>
      <c r="CJ461" s="28" t="str">
        <f>AR459</f>
        <v>624.6</v>
      </c>
      <c r="CK461" s="28"/>
      <c r="CL461" s="39"/>
    </row>
    <row r="462" spans="2:90" ht="16.7" customHeight="1" x14ac:dyDescent="0.25">
      <c r="B462" s="22"/>
      <c r="C462" s="23"/>
      <c r="D462" s="29"/>
      <c r="E462" s="29"/>
      <c r="F462" s="29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9"/>
      <c r="AZ462" s="29"/>
      <c r="BA462" s="29"/>
      <c r="BB462" s="29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  <c r="BX462" s="23"/>
      <c r="BY462" s="23"/>
      <c r="BZ462" s="23"/>
      <c r="CA462" s="23"/>
      <c r="CB462" s="23"/>
      <c r="CC462" s="23"/>
      <c r="CD462" s="23"/>
      <c r="CE462" s="23"/>
      <c r="CF462" s="23"/>
      <c r="CG462" s="23"/>
      <c r="CH462" s="27"/>
      <c r="CI462" s="27"/>
      <c r="CJ462" s="28"/>
      <c r="CK462" s="28"/>
      <c r="CL462" s="39"/>
    </row>
    <row r="463" spans="2:90" ht="16.7" customHeight="1" x14ac:dyDescent="0.25">
      <c r="B463" s="46" t="s">
        <v>276</v>
      </c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  <c r="AB463" s="47"/>
      <c r="AC463" s="47"/>
      <c r="AD463" s="47"/>
      <c r="AE463" s="47"/>
      <c r="AF463" s="47"/>
      <c r="AG463" s="47"/>
      <c r="AH463" s="47"/>
      <c r="AI463" s="47"/>
      <c r="AJ463" s="47"/>
      <c r="AK463" s="47"/>
      <c r="AL463" s="47"/>
      <c r="AM463" s="47"/>
      <c r="AN463" s="47"/>
      <c r="AO463" s="47"/>
      <c r="AP463" s="47"/>
      <c r="AQ463" s="47"/>
      <c r="AR463" s="47"/>
      <c r="AS463" s="47"/>
      <c r="AT463" s="47"/>
      <c r="AU463" s="47"/>
      <c r="AV463" s="47"/>
      <c r="AW463" s="47"/>
      <c r="AX463" s="47"/>
      <c r="AY463" s="47"/>
      <c r="AZ463" s="47"/>
      <c r="BA463" s="47"/>
      <c r="BB463" s="47"/>
      <c r="BC463" s="47"/>
      <c r="BD463" s="47"/>
      <c r="BE463" s="47"/>
      <c r="BF463" s="47"/>
      <c r="BG463" s="47"/>
      <c r="BH463" s="47"/>
      <c r="BI463" s="47"/>
      <c r="BJ463" s="47"/>
      <c r="BK463" s="47"/>
      <c r="BL463" s="47"/>
      <c r="BM463" s="47"/>
      <c r="BN463" s="47"/>
      <c r="BO463" s="47"/>
      <c r="BP463" s="47"/>
      <c r="BQ463" s="47"/>
      <c r="BR463" s="47"/>
      <c r="BS463" s="47"/>
      <c r="BT463" s="47"/>
      <c r="BU463" s="47"/>
      <c r="BV463" s="47"/>
      <c r="BW463" s="47"/>
      <c r="BX463" s="47"/>
      <c r="BY463" s="47"/>
      <c r="BZ463" s="47"/>
      <c r="CA463" s="47"/>
      <c r="CB463" s="47"/>
      <c r="CC463" s="47"/>
      <c r="CD463" s="47"/>
      <c r="CE463" s="47"/>
      <c r="CF463" s="47"/>
      <c r="CG463" s="47"/>
      <c r="CH463" s="48">
        <f>TRUNC(CI463+CJ463+CK463,0)</f>
        <v>56896</v>
      </c>
      <c r="CI463" s="48">
        <f>TRUNC(CI473+CI478+CI479,0)</f>
        <v>14463</v>
      </c>
      <c r="CJ463" s="49">
        <f>TRUNC(CJ467+CJ474,0)</f>
        <v>42433</v>
      </c>
      <c r="CK463" s="49">
        <f>TRUNC(CK475,0)</f>
        <v>0</v>
      </c>
      <c r="CL463" s="100">
        <v>1114</v>
      </c>
    </row>
    <row r="464" spans="2:90" ht="16.7" customHeight="1" x14ac:dyDescent="0.25">
      <c r="B464" s="26"/>
      <c r="C464" s="23"/>
      <c r="D464" s="23" t="s">
        <v>94</v>
      </c>
      <c r="E464" s="23"/>
      <c r="F464" s="23"/>
      <c r="G464" s="23" t="s">
        <v>277</v>
      </c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  <c r="BX464" s="23"/>
      <c r="BY464" s="23"/>
      <c r="BZ464" s="23"/>
      <c r="CA464" s="23"/>
      <c r="CB464" s="23"/>
      <c r="CC464" s="23"/>
      <c r="CD464" s="23"/>
      <c r="CE464" s="23"/>
      <c r="CF464" s="23"/>
      <c r="CG464" s="23"/>
      <c r="CH464" s="27"/>
      <c r="CI464" s="27"/>
      <c r="CJ464" s="28"/>
      <c r="CK464" s="28"/>
      <c r="CL464" s="39" t="s">
        <v>278</v>
      </c>
    </row>
    <row r="465" spans="2:90" ht="16.7" customHeight="1" x14ac:dyDescent="0.25">
      <c r="B465" s="26"/>
      <c r="C465" s="23"/>
      <c r="D465" s="29"/>
      <c r="E465" s="29"/>
      <c r="F465" s="29"/>
      <c r="G465" s="29"/>
      <c r="H465" s="23" t="s">
        <v>279</v>
      </c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23"/>
      <c r="BF465" s="23"/>
      <c r="BG465" s="23"/>
      <c r="BH465" s="29"/>
      <c r="BI465" s="29"/>
      <c r="BJ465" s="29"/>
      <c r="BK465" s="29"/>
      <c r="BL465" s="29"/>
      <c r="BM465" s="29"/>
      <c r="BN465" s="29"/>
      <c r="BO465" s="29"/>
      <c r="BP465" s="29"/>
      <c r="BQ465" s="29"/>
      <c r="BR465" s="29"/>
      <c r="BS465" s="29"/>
      <c r="BT465" s="29"/>
      <c r="BU465" s="29"/>
      <c r="BV465" s="29"/>
      <c r="BW465" s="29"/>
      <c r="BX465" s="29"/>
      <c r="BY465" s="29"/>
      <c r="BZ465" s="29"/>
      <c r="CA465" s="29"/>
      <c r="CB465" s="29"/>
      <c r="CC465" s="29"/>
      <c r="CD465" s="29"/>
      <c r="CE465" s="29"/>
      <c r="CF465" s="29"/>
      <c r="CG465" s="29"/>
      <c r="CH465" s="27"/>
      <c r="CI465" s="27"/>
      <c r="CJ465" s="28"/>
      <c r="CK465" s="28"/>
      <c r="CL465" s="39"/>
    </row>
    <row r="466" spans="2:90" ht="16.7" customHeight="1" x14ac:dyDescent="0.25">
      <c r="B466" s="26"/>
      <c r="C466" s="23"/>
      <c r="D466" s="29"/>
      <c r="E466" s="29"/>
      <c r="F466" s="29"/>
      <c r="G466" s="29"/>
      <c r="H466" s="23" t="str">
        <f>TEXT(1,"#,##0.#######")</f>
        <v>1.</v>
      </c>
      <c r="I466" s="23"/>
      <c r="J466" s="23" t="s">
        <v>280</v>
      </c>
      <c r="K466" s="23"/>
      <c r="L466" s="23"/>
      <c r="M466" s="23" t="s">
        <v>281</v>
      </c>
      <c r="N466" s="23"/>
      <c r="O466" s="23" t="str">
        <f>TEXT(1,"#,##0.#######")</f>
        <v>1.</v>
      </c>
      <c r="P466" s="23"/>
      <c r="Q466" s="23" t="s">
        <v>280</v>
      </c>
      <c r="R466" s="23"/>
      <c r="S466" s="23" t="s">
        <v>281</v>
      </c>
      <c r="T466" s="23"/>
      <c r="U466" s="23" t="str">
        <f>TEXT(0.05,"#,##0.#######")</f>
        <v>0.05</v>
      </c>
      <c r="V466" s="23"/>
      <c r="W466" s="23"/>
      <c r="X466" s="23"/>
      <c r="Y466" s="23" t="s">
        <v>255</v>
      </c>
      <c r="Z466" s="23"/>
      <c r="AA466" s="23" t="s">
        <v>102</v>
      </c>
      <c r="AB466" s="23"/>
      <c r="AC466" s="23" t="str">
        <f>TEXT(2,"#,##0.#######")</f>
        <v>2.</v>
      </c>
      <c r="AD466" s="23"/>
      <c r="AE466" s="23" t="s">
        <v>282</v>
      </c>
      <c r="AF466" s="23"/>
      <c r="AG466" s="23"/>
      <c r="AH466" s="23"/>
      <c r="AI466" s="23"/>
      <c r="AJ466" s="23"/>
      <c r="AK466" s="23" t="s">
        <v>103</v>
      </c>
      <c r="AL466" s="23"/>
      <c r="AM466" s="23" t="str">
        <f>TEXT(TRUNC(H466*O466*U466*AC466,1),"#,##0.#")</f>
        <v>0.1</v>
      </c>
      <c r="AN466" s="23"/>
      <c r="AO466" s="23"/>
      <c r="AP466" s="23" t="s">
        <v>265</v>
      </c>
      <c r="AQ466" s="23"/>
      <c r="AR466" s="23"/>
      <c r="AS466" s="23" t="s">
        <v>103</v>
      </c>
      <c r="AT466" s="23"/>
      <c r="AU466" s="23" t="str">
        <f>TEXT(TRUNC(AM466*1000,1),"#,##0.#")</f>
        <v>100.</v>
      </c>
      <c r="AV466" s="23"/>
      <c r="AW466" s="23"/>
      <c r="AX466" s="23"/>
      <c r="AY466" s="23" t="s">
        <v>270</v>
      </c>
      <c r="AZ466" s="23"/>
      <c r="BA466" s="23"/>
      <c r="BB466" s="23"/>
      <c r="BC466" s="23"/>
      <c r="BD466" s="23"/>
      <c r="BE466" s="23"/>
      <c r="BF466" s="23"/>
      <c r="BG466" s="23"/>
      <c r="BH466" s="29"/>
      <c r="BI466" s="29"/>
      <c r="BJ466" s="29"/>
      <c r="BK466" s="29"/>
      <c r="BL466" s="29"/>
      <c r="BM466" s="29"/>
      <c r="BN466" s="29"/>
      <c r="BO466" s="29"/>
      <c r="BP466" s="29"/>
      <c r="BQ466" s="29"/>
      <c r="BR466" s="29"/>
      <c r="BS466" s="29"/>
      <c r="BT466" s="29"/>
      <c r="BU466" s="29"/>
      <c r="BV466" s="29"/>
      <c r="BW466" s="29"/>
      <c r="BX466" s="29"/>
      <c r="BY466" s="29"/>
      <c r="BZ466" s="29"/>
      <c r="CA466" s="29"/>
      <c r="CB466" s="29"/>
      <c r="CC466" s="29"/>
      <c r="CD466" s="29"/>
      <c r="CE466" s="29"/>
      <c r="CF466" s="29"/>
      <c r="CG466" s="29"/>
      <c r="CH466" s="27"/>
      <c r="CI466" s="27"/>
      <c r="CJ466" s="28"/>
      <c r="CK466" s="28"/>
      <c r="CL466" s="39"/>
    </row>
    <row r="467" spans="2:90" ht="16.7" customHeight="1" x14ac:dyDescent="0.25">
      <c r="B467" s="26"/>
      <c r="C467" s="23"/>
      <c r="D467" s="23"/>
      <c r="E467" s="23"/>
      <c r="F467" s="23"/>
      <c r="G467" s="23"/>
      <c r="H467" s="23" t="s">
        <v>283</v>
      </c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  <c r="BN467" s="23"/>
      <c r="BO467" s="23"/>
      <c r="BP467" s="23"/>
      <c r="BQ467" s="23"/>
      <c r="BR467" s="23"/>
      <c r="BS467" s="23"/>
      <c r="BT467" s="23"/>
      <c r="BU467" s="23"/>
      <c r="BV467" s="23"/>
      <c r="BW467" s="23"/>
      <c r="BX467" s="23"/>
      <c r="BY467" s="23"/>
      <c r="BZ467" s="23"/>
      <c r="CA467" s="23"/>
      <c r="CB467" s="23"/>
      <c r="CC467" s="23"/>
      <c r="CD467" s="23"/>
      <c r="CE467" s="23"/>
      <c r="CF467" s="23"/>
      <c r="CG467" s="23"/>
      <c r="CH467" s="27"/>
      <c r="CI467" s="27"/>
      <c r="CJ467" s="28" t="str">
        <f>AE469</f>
        <v>42,432.</v>
      </c>
      <c r="CK467" s="28"/>
      <c r="CL467" s="39"/>
    </row>
    <row r="468" spans="2:90" ht="16.7" customHeight="1" x14ac:dyDescent="0.25">
      <c r="B468" s="26"/>
      <c r="C468" s="23"/>
      <c r="D468" s="29"/>
      <c r="E468" s="29"/>
      <c r="F468" s="29"/>
      <c r="G468" s="29"/>
      <c r="H468" s="23" t="str">
        <f>TEXT(AU466,"#,##0.#######")</f>
        <v>100.</v>
      </c>
      <c r="I468" s="29"/>
      <c r="J468" s="29"/>
      <c r="K468" s="29"/>
      <c r="L468" s="29" t="s">
        <v>270</v>
      </c>
      <c r="M468" s="29"/>
      <c r="N468" s="23" t="s">
        <v>102</v>
      </c>
      <c r="O468" s="29"/>
      <c r="P468" s="29"/>
      <c r="Q468" s="23" t="str">
        <f>TEXT(1.02,"#,##0.#######")</f>
        <v>1.02</v>
      </c>
      <c r="R468" s="29"/>
      <c r="S468" s="29"/>
      <c r="T468" s="29"/>
      <c r="U468" s="29" t="s">
        <v>103</v>
      </c>
      <c r="V468" s="29"/>
      <c r="W468" s="29"/>
      <c r="X468" s="23" t="str">
        <f>TEXT(TRUNC(H468*Q468,1),"#,##0.#")</f>
        <v>102.</v>
      </c>
      <c r="Y468" s="29"/>
      <c r="Z468" s="29"/>
      <c r="AA468" s="29"/>
      <c r="AB468" s="29" t="s">
        <v>270</v>
      </c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  <c r="AR468" s="29"/>
      <c r="AS468" s="29"/>
      <c r="AT468" s="29"/>
      <c r="AU468" s="29"/>
      <c r="AV468" s="29"/>
      <c r="AW468" s="29"/>
      <c r="AX468" s="29"/>
      <c r="AY468" s="29"/>
      <c r="AZ468" s="29"/>
      <c r="BA468" s="29"/>
      <c r="BB468" s="29"/>
      <c r="BC468" s="29"/>
      <c r="BD468" s="29"/>
      <c r="BE468" s="29"/>
      <c r="BF468" s="29"/>
      <c r="BG468" s="29"/>
      <c r="BH468" s="29"/>
      <c r="BI468" s="29"/>
      <c r="BJ468" s="29"/>
      <c r="BK468" s="29"/>
      <c r="BL468" s="29"/>
      <c r="BM468" s="29"/>
      <c r="BN468" s="29"/>
      <c r="BO468" s="29"/>
      <c r="BP468" s="29"/>
      <c r="BQ468" s="29"/>
      <c r="BR468" s="29"/>
      <c r="BS468" s="29"/>
      <c r="BT468" s="29"/>
      <c r="BU468" s="29"/>
      <c r="BV468" s="29"/>
      <c r="BW468" s="29"/>
      <c r="BX468" s="29"/>
      <c r="BY468" s="29"/>
      <c r="BZ468" s="29"/>
      <c r="CA468" s="29"/>
      <c r="CB468" s="29"/>
      <c r="CC468" s="29"/>
      <c r="CD468" s="29"/>
      <c r="CE468" s="29"/>
      <c r="CF468" s="29"/>
      <c r="CG468" s="29"/>
      <c r="CH468" s="27"/>
      <c r="CI468" s="27"/>
      <c r="CJ468" s="28"/>
      <c r="CK468" s="28"/>
      <c r="CL468" s="39"/>
    </row>
    <row r="469" spans="2:90" ht="16.7" customHeight="1" x14ac:dyDescent="0.25">
      <c r="B469" s="26"/>
      <c r="C469" s="23"/>
      <c r="D469" s="23"/>
      <c r="E469" s="23"/>
      <c r="F469" s="23"/>
      <c r="G469" s="23"/>
      <c r="H469" s="23" t="str">
        <f>TEXT(X468,"#,##0.#######")</f>
        <v>102.</v>
      </c>
      <c r="I469" s="23"/>
      <c r="J469" s="23"/>
      <c r="K469" s="23"/>
      <c r="L469" s="23" t="s">
        <v>270</v>
      </c>
      <c r="M469" s="23"/>
      <c r="N469" s="23"/>
      <c r="O469" s="23"/>
      <c r="P469" s="23" t="s">
        <v>102</v>
      </c>
      <c r="Q469" s="23"/>
      <c r="R469" s="23"/>
      <c r="S469" s="23" t="str">
        <f>TEXT([1]자재단가!M89,"#,##0.#######")</f>
        <v>416.</v>
      </c>
      <c r="T469" s="23"/>
      <c r="U469" s="23"/>
      <c r="V469" s="23"/>
      <c r="W469" s="23" t="s">
        <v>268</v>
      </c>
      <c r="X469" s="23"/>
      <c r="Y469" s="23"/>
      <c r="Z469" s="23"/>
      <c r="AA469" s="23"/>
      <c r="AB469" s="23" t="s">
        <v>103</v>
      </c>
      <c r="AC469" s="23"/>
      <c r="AD469" s="23"/>
      <c r="AE469" s="23" t="str">
        <f>TEXT(TRUNC(H469*S469,1),"#,##0.#")</f>
        <v>42,432.</v>
      </c>
      <c r="AF469" s="23"/>
      <c r="AG469" s="23"/>
      <c r="AH469" s="23"/>
      <c r="AI469" s="23"/>
      <c r="AJ469" s="23" t="s">
        <v>284</v>
      </c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  <c r="BD469" s="23"/>
      <c r="BE469" s="23"/>
      <c r="BF469" s="23"/>
      <c r="BG469" s="23"/>
      <c r="BH469" s="23"/>
      <c r="BI469" s="23"/>
      <c r="BJ469" s="23"/>
      <c r="BK469" s="23"/>
      <c r="BL469" s="23"/>
      <c r="BM469" s="23"/>
      <c r="BN469" s="23"/>
      <c r="BO469" s="23"/>
      <c r="BP469" s="23"/>
      <c r="BQ469" s="23"/>
      <c r="BR469" s="23"/>
      <c r="BS469" s="23"/>
      <c r="BT469" s="23"/>
      <c r="BU469" s="23"/>
      <c r="BV469" s="23"/>
      <c r="BW469" s="23"/>
      <c r="BX469" s="23"/>
      <c r="BY469" s="23"/>
      <c r="BZ469" s="23"/>
      <c r="CA469" s="23"/>
      <c r="CB469" s="23"/>
      <c r="CC469" s="23"/>
      <c r="CD469" s="23"/>
      <c r="CE469" s="23"/>
      <c r="CF469" s="23"/>
      <c r="CG469" s="23"/>
      <c r="CH469" s="27"/>
      <c r="CI469" s="27"/>
      <c r="CJ469" s="28"/>
      <c r="CK469" s="28"/>
      <c r="CL469" s="39"/>
    </row>
    <row r="470" spans="2:90" ht="16.7" customHeight="1" x14ac:dyDescent="0.25">
      <c r="B470" s="26"/>
      <c r="C470" s="23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29"/>
      <c r="AR470" s="29"/>
      <c r="AS470" s="29"/>
      <c r="AT470" s="29"/>
      <c r="AU470" s="29"/>
      <c r="AV470" s="29"/>
      <c r="AW470" s="29"/>
      <c r="AX470" s="29"/>
      <c r="AY470" s="29"/>
      <c r="AZ470" s="29"/>
      <c r="BA470" s="29"/>
      <c r="BB470" s="29"/>
      <c r="BC470" s="29"/>
      <c r="BD470" s="29"/>
      <c r="BE470" s="29"/>
      <c r="BF470" s="29"/>
      <c r="BG470" s="29"/>
      <c r="BH470" s="29"/>
      <c r="BI470" s="29"/>
      <c r="BJ470" s="29"/>
      <c r="BK470" s="29"/>
      <c r="BL470" s="29"/>
      <c r="BM470" s="29"/>
      <c r="BN470" s="29"/>
      <c r="BO470" s="29"/>
      <c r="BP470" s="29"/>
      <c r="BQ470" s="29"/>
      <c r="BR470" s="29"/>
      <c r="BS470" s="29"/>
      <c r="BT470" s="29"/>
      <c r="BU470" s="29"/>
      <c r="BV470" s="29"/>
      <c r="BW470" s="29"/>
      <c r="BX470" s="29"/>
      <c r="BY470" s="29"/>
      <c r="BZ470" s="29"/>
      <c r="CA470" s="29"/>
      <c r="CB470" s="29"/>
      <c r="CC470" s="29"/>
      <c r="CD470" s="29"/>
      <c r="CE470" s="29"/>
      <c r="CF470" s="29"/>
      <c r="CG470" s="29"/>
      <c r="CH470" s="27"/>
      <c r="CI470" s="27"/>
      <c r="CJ470" s="28"/>
      <c r="CK470" s="28"/>
      <c r="CL470" s="39"/>
    </row>
    <row r="471" spans="2:90" ht="16.7" customHeight="1" x14ac:dyDescent="0.25">
      <c r="B471" s="26"/>
      <c r="C471" s="23"/>
      <c r="D471" s="23" t="s">
        <v>168</v>
      </c>
      <c r="E471" s="23"/>
      <c r="F471" s="23"/>
      <c r="G471" s="23" t="s">
        <v>285</v>
      </c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23"/>
      <c r="BC471" s="23"/>
      <c r="BD471" s="23"/>
      <c r="BE471" s="23"/>
      <c r="BF471" s="23"/>
      <c r="BG471" s="23"/>
      <c r="BH471" s="23"/>
      <c r="BI471" s="23"/>
      <c r="BJ471" s="23"/>
      <c r="BK471" s="23"/>
      <c r="BL471" s="23"/>
      <c r="BM471" s="23"/>
      <c r="BN471" s="23"/>
      <c r="BO471" s="23"/>
      <c r="BP471" s="23"/>
      <c r="BQ471" s="23"/>
      <c r="BR471" s="23"/>
      <c r="BS471" s="23"/>
      <c r="BT471" s="23"/>
      <c r="BU471" s="23"/>
      <c r="BV471" s="23"/>
      <c r="BW471" s="23"/>
      <c r="BX471" s="23"/>
      <c r="BY471" s="23"/>
      <c r="BZ471" s="23"/>
      <c r="CA471" s="23"/>
      <c r="CB471" s="23"/>
      <c r="CC471" s="23"/>
      <c r="CD471" s="23"/>
      <c r="CE471" s="23"/>
      <c r="CF471" s="23"/>
      <c r="CG471" s="23"/>
      <c r="CH471" s="27"/>
      <c r="CI471" s="27"/>
      <c r="CJ471" s="28"/>
      <c r="CK471" s="28"/>
      <c r="CL471" s="39"/>
    </row>
    <row r="472" spans="2:90" ht="16.7" customHeight="1" x14ac:dyDescent="0.25">
      <c r="B472" s="26"/>
      <c r="C472" s="23"/>
      <c r="D472" s="29"/>
      <c r="E472" s="23"/>
      <c r="F472" s="23"/>
      <c r="G472" s="23" t="s">
        <v>197</v>
      </c>
      <c r="H472" s="23"/>
      <c r="I472" s="23"/>
      <c r="J472" s="23"/>
      <c r="K472" s="23" t="str">
        <f>TEXT(400,"#,##0.#######")</f>
        <v>400.</v>
      </c>
      <c r="L472" s="23"/>
      <c r="M472" s="23"/>
      <c r="N472" s="23" t="s">
        <v>286</v>
      </c>
      <c r="O472" s="23"/>
      <c r="P472" s="23"/>
      <c r="Q472" s="23"/>
      <c r="R472" s="23"/>
      <c r="S472" s="23"/>
      <c r="T472" s="23"/>
      <c r="U472" s="23" t="s">
        <v>122</v>
      </c>
      <c r="V472" s="23"/>
      <c r="W472" s="23"/>
      <c r="X472" s="23" t="str">
        <f>TEXT(8,"#,##0.#######")</f>
        <v>8.</v>
      </c>
      <c r="Y472" s="23"/>
      <c r="Z472" s="23" t="s">
        <v>119</v>
      </c>
      <c r="AA472" s="29"/>
      <c r="AB472" s="23"/>
      <c r="AC472" s="23" t="s">
        <v>122</v>
      </c>
      <c r="AD472" s="34"/>
      <c r="AE472" s="34"/>
      <c r="AF472" s="23" t="str">
        <f>TEXT(0.05,"#,##0.#######")</f>
        <v>0.05</v>
      </c>
      <c r="AG472" s="34"/>
      <c r="AH472" s="34"/>
      <c r="AI472" s="23" t="s">
        <v>255</v>
      </c>
      <c r="AJ472" s="34"/>
      <c r="AK472" s="23"/>
      <c r="AL472" s="23" t="s">
        <v>103</v>
      </c>
      <c r="AM472" s="23"/>
      <c r="AN472" s="23"/>
      <c r="AO472" s="23" t="str">
        <f>TEXT(TRUNC(K472/X472/AF472,1),"#,##0.#")</f>
        <v>1,000.</v>
      </c>
      <c r="AP472" s="23"/>
      <c r="AQ472" s="23"/>
      <c r="AR472" s="23"/>
      <c r="AS472" s="23" t="s">
        <v>287</v>
      </c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  <c r="BD472" s="23"/>
      <c r="BE472" s="23"/>
      <c r="BF472" s="23"/>
      <c r="BG472" s="23"/>
      <c r="BH472" s="23"/>
      <c r="BI472" s="23"/>
      <c r="BJ472" s="23"/>
      <c r="BK472" s="23"/>
      <c r="BL472" s="23"/>
      <c r="BM472" s="23"/>
      <c r="BN472" s="23"/>
      <c r="BO472" s="23"/>
      <c r="BP472" s="23"/>
      <c r="BQ472" s="23"/>
      <c r="BR472" s="23"/>
      <c r="BS472" s="23"/>
      <c r="BT472" s="23"/>
      <c r="BU472" s="23"/>
      <c r="BV472" s="23"/>
      <c r="BW472" s="23"/>
      <c r="BX472" s="23"/>
      <c r="BY472" s="23"/>
      <c r="BZ472" s="23"/>
      <c r="CA472" s="23"/>
      <c r="CB472" s="23"/>
      <c r="CC472" s="23"/>
      <c r="CD472" s="23"/>
      <c r="CE472" s="23"/>
      <c r="CF472" s="23"/>
      <c r="CG472" s="23"/>
      <c r="CH472" s="27"/>
      <c r="CI472" s="27"/>
      <c r="CJ472" s="28"/>
      <c r="CK472" s="28"/>
      <c r="CL472" s="39"/>
    </row>
    <row r="473" spans="2:90" ht="16.7" customHeight="1" x14ac:dyDescent="0.25">
      <c r="B473" s="26"/>
      <c r="C473" s="23"/>
      <c r="D473" s="23"/>
      <c r="E473" s="23"/>
      <c r="F473" s="23"/>
      <c r="G473" s="23"/>
      <c r="H473" s="23" t="s">
        <v>120</v>
      </c>
      <c r="I473" s="23"/>
      <c r="J473" s="23"/>
      <c r="K473" s="23"/>
      <c r="L473" s="23"/>
      <c r="M473" s="23" t="s">
        <v>121</v>
      </c>
      <c r="N473" s="23" t="str">
        <f>TEXT([1]기계경비총괄표!G52,"#,##0.#######")</f>
        <v>28,949.</v>
      </c>
      <c r="O473" s="23"/>
      <c r="P473" s="23"/>
      <c r="Q473" s="23"/>
      <c r="R473" s="23"/>
      <c r="S473" s="23"/>
      <c r="T473" s="23"/>
      <c r="U473" s="23" t="s">
        <v>122</v>
      </c>
      <c r="V473" s="23"/>
      <c r="W473" s="23"/>
      <c r="X473" s="23" t="str">
        <f>TEXT(AO472,"#,##0.#######")</f>
        <v>1,000.</v>
      </c>
      <c r="Y473" s="23"/>
      <c r="Z473" s="23"/>
      <c r="AA473" s="23" t="s">
        <v>287</v>
      </c>
      <c r="AB473" s="29"/>
      <c r="AC473" s="29"/>
      <c r="AD473" s="29"/>
      <c r="AE473" s="23" t="s">
        <v>102</v>
      </c>
      <c r="AF473" s="23"/>
      <c r="AG473" s="23"/>
      <c r="AH473" s="23" t="str">
        <f>TEXT(1,"#,##0.#######")</f>
        <v>1.</v>
      </c>
      <c r="AI473" s="23"/>
      <c r="AJ473" s="23" t="s">
        <v>255</v>
      </c>
      <c r="AK473" s="29"/>
      <c r="AL473" s="29"/>
      <c r="AM473" s="23" t="s">
        <v>103</v>
      </c>
      <c r="AN473" s="23"/>
      <c r="AO473" s="23"/>
      <c r="AP473" s="23" t="str">
        <f>TEXT(TRUNC(N473/X473,1),"#,##0.#")</f>
        <v>28.9</v>
      </c>
      <c r="AQ473" s="23"/>
      <c r="AR473" s="23"/>
      <c r="AS473" s="23"/>
      <c r="AT473" s="23"/>
      <c r="AU473" s="23" t="s">
        <v>288</v>
      </c>
      <c r="AV473" s="23"/>
      <c r="AW473" s="23"/>
      <c r="AX473" s="23"/>
      <c r="AY473" s="23"/>
      <c r="AZ473" s="23"/>
      <c r="BA473" s="23"/>
      <c r="BB473" s="23"/>
      <c r="BC473" s="23"/>
      <c r="BD473" s="23"/>
      <c r="BE473" s="23"/>
      <c r="BF473" s="23"/>
      <c r="BG473" s="23"/>
      <c r="BH473" s="23"/>
      <c r="BI473" s="23"/>
      <c r="BJ473" s="23"/>
      <c r="BK473" s="23"/>
      <c r="BL473" s="23"/>
      <c r="BM473" s="23"/>
      <c r="BN473" s="23"/>
      <c r="BO473" s="23"/>
      <c r="BP473" s="23"/>
      <c r="BQ473" s="23"/>
      <c r="BR473" s="23"/>
      <c r="BS473" s="23"/>
      <c r="BT473" s="23"/>
      <c r="BU473" s="23"/>
      <c r="BV473" s="23"/>
      <c r="BW473" s="23"/>
      <c r="BX473" s="23"/>
      <c r="BY473" s="23"/>
      <c r="BZ473" s="23"/>
      <c r="CA473" s="23"/>
      <c r="CB473" s="23"/>
      <c r="CC473" s="23"/>
      <c r="CD473" s="23"/>
      <c r="CE473" s="23"/>
      <c r="CF473" s="23"/>
      <c r="CG473" s="23"/>
      <c r="CH473" s="27"/>
      <c r="CI473" s="27" t="str">
        <f>AP473</f>
        <v>28.9</v>
      </c>
      <c r="CJ473" s="28"/>
      <c r="CK473" s="28"/>
      <c r="CL473" s="39"/>
    </row>
    <row r="474" spans="2:90" ht="16.7" customHeight="1" x14ac:dyDescent="0.25">
      <c r="B474" s="26"/>
      <c r="C474" s="23"/>
      <c r="D474" s="23"/>
      <c r="E474" s="23"/>
      <c r="F474" s="23"/>
      <c r="G474" s="23"/>
      <c r="H474" s="23" t="s">
        <v>123</v>
      </c>
      <c r="I474" s="23"/>
      <c r="J474" s="23"/>
      <c r="K474" s="23"/>
      <c r="L474" s="23"/>
      <c r="M474" s="23" t="s">
        <v>121</v>
      </c>
      <c r="N474" s="23" t="str">
        <f>TEXT([1]기계경비총괄표!F52,"#,##0.#######")</f>
        <v>1,674.</v>
      </c>
      <c r="O474" s="23"/>
      <c r="P474" s="23"/>
      <c r="Q474" s="23"/>
      <c r="R474" s="23"/>
      <c r="S474" s="23"/>
      <c r="T474" s="23"/>
      <c r="U474" s="23" t="s">
        <v>122</v>
      </c>
      <c r="V474" s="23"/>
      <c r="W474" s="23"/>
      <c r="X474" s="23" t="str">
        <f>TEXT(AO472,"#,##0.#######")</f>
        <v>1,000.</v>
      </c>
      <c r="Y474" s="23"/>
      <c r="Z474" s="23"/>
      <c r="AA474" s="23" t="s">
        <v>287</v>
      </c>
      <c r="AB474" s="29"/>
      <c r="AC474" s="29"/>
      <c r="AD474" s="29"/>
      <c r="AE474" s="23" t="s">
        <v>102</v>
      </c>
      <c r="AF474" s="23"/>
      <c r="AG474" s="23"/>
      <c r="AH474" s="23" t="str">
        <f>TEXT(1,"#,##0.#######")</f>
        <v>1.</v>
      </c>
      <c r="AI474" s="23"/>
      <c r="AJ474" s="23" t="s">
        <v>255</v>
      </c>
      <c r="AK474" s="29"/>
      <c r="AL474" s="29"/>
      <c r="AM474" s="23" t="s">
        <v>103</v>
      </c>
      <c r="AN474" s="23"/>
      <c r="AO474" s="23"/>
      <c r="AP474" s="23" t="str">
        <f>TEXT(TRUNC(N474/X474,1),"#,##0.#")</f>
        <v>1.6</v>
      </c>
      <c r="AQ474" s="23"/>
      <c r="AR474" s="23"/>
      <c r="AS474" s="23"/>
      <c r="AT474" s="23"/>
      <c r="AU474" s="23" t="s">
        <v>288</v>
      </c>
      <c r="AV474" s="23"/>
      <c r="AW474" s="23"/>
      <c r="AX474" s="23"/>
      <c r="AY474" s="23"/>
      <c r="AZ474" s="23"/>
      <c r="BA474" s="23"/>
      <c r="BB474" s="23"/>
      <c r="BC474" s="23"/>
      <c r="BD474" s="23"/>
      <c r="BE474" s="23"/>
      <c r="BF474" s="23"/>
      <c r="BG474" s="23"/>
      <c r="BH474" s="23"/>
      <c r="BI474" s="23"/>
      <c r="BJ474" s="23"/>
      <c r="BK474" s="23"/>
      <c r="BL474" s="23"/>
      <c r="BM474" s="23"/>
      <c r="BN474" s="23"/>
      <c r="BO474" s="23"/>
      <c r="BP474" s="23"/>
      <c r="BQ474" s="23"/>
      <c r="BR474" s="23"/>
      <c r="BS474" s="23"/>
      <c r="BT474" s="23"/>
      <c r="BU474" s="23"/>
      <c r="BV474" s="23"/>
      <c r="BW474" s="23"/>
      <c r="BX474" s="23"/>
      <c r="BY474" s="23"/>
      <c r="BZ474" s="23"/>
      <c r="CA474" s="23"/>
      <c r="CB474" s="23"/>
      <c r="CC474" s="23"/>
      <c r="CD474" s="23"/>
      <c r="CE474" s="23"/>
      <c r="CF474" s="23"/>
      <c r="CG474" s="23"/>
      <c r="CH474" s="27"/>
      <c r="CI474" s="27"/>
      <c r="CJ474" s="28" t="str">
        <f>AP474</f>
        <v>1.6</v>
      </c>
      <c r="CK474" s="28"/>
      <c r="CL474" s="39"/>
    </row>
    <row r="475" spans="2:90" ht="16.7" customHeight="1" x14ac:dyDescent="0.25">
      <c r="B475" s="26"/>
      <c r="C475" s="23"/>
      <c r="D475" s="23"/>
      <c r="E475" s="23"/>
      <c r="F475" s="23"/>
      <c r="G475" s="23"/>
      <c r="H475" s="23" t="s">
        <v>172</v>
      </c>
      <c r="I475" s="23"/>
      <c r="J475" s="23"/>
      <c r="K475" s="23"/>
      <c r="L475" s="23" t="s">
        <v>121</v>
      </c>
      <c r="M475" s="23"/>
      <c r="N475" s="23" t="str">
        <f>TEXT([1]기계경비총괄표!H52,"#,##0.#######")</f>
        <v>529.5</v>
      </c>
      <c r="O475" s="23"/>
      <c r="P475" s="23"/>
      <c r="Q475" s="23"/>
      <c r="R475" s="23"/>
      <c r="S475" s="23"/>
      <c r="T475" s="23"/>
      <c r="U475" s="23" t="s">
        <v>122</v>
      </c>
      <c r="V475" s="23"/>
      <c r="W475" s="23"/>
      <c r="X475" s="23" t="str">
        <f>TEXT(AO472,"#,##0.#######")</f>
        <v>1,000.</v>
      </c>
      <c r="Y475" s="23"/>
      <c r="Z475" s="23"/>
      <c r="AA475" s="23" t="s">
        <v>287</v>
      </c>
      <c r="AB475" s="29"/>
      <c r="AC475" s="29"/>
      <c r="AD475" s="29"/>
      <c r="AE475" s="23" t="s">
        <v>102</v>
      </c>
      <c r="AF475" s="23"/>
      <c r="AG475" s="23"/>
      <c r="AH475" s="23" t="str">
        <f>TEXT(1,"#,##0.#######")</f>
        <v>1.</v>
      </c>
      <c r="AI475" s="23"/>
      <c r="AJ475" s="23" t="s">
        <v>255</v>
      </c>
      <c r="AK475" s="29"/>
      <c r="AL475" s="29"/>
      <c r="AM475" s="23" t="s">
        <v>103</v>
      </c>
      <c r="AN475" s="23"/>
      <c r="AO475" s="23"/>
      <c r="AP475" s="23" t="str">
        <f>TEXT(TRUNC(N475/X475,1),"#,##0.#")</f>
        <v>0.5</v>
      </c>
      <c r="AQ475" s="23"/>
      <c r="AR475" s="23"/>
      <c r="AS475" s="23"/>
      <c r="AT475" s="23"/>
      <c r="AU475" s="23" t="s">
        <v>288</v>
      </c>
      <c r="AV475" s="23"/>
      <c r="AW475" s="23"/>
      <c r="AX475" s="23"/>
      <c r="AY475" s="23"/>
      <c r="AZ475" s="23"/>
      <c r="BA475" s="23"/>
      <c r="BB475" s="23"/>
      <c r="BC475" s="23"/>
      <c r="BD475" s="23"/>
      <c r="BE475" s="23"/>
      <c r="BF475" s="23"/>
      <c r="BG475" s="23"/>
      <c r="BH475" s="23"/>
      <c r="BI475" s="23"/>
      <c r="BJ475" s="23"/>
      <c r="BK475" s="23"/>
      <c r="BL475" s="23"/>
      <c r="BM475" s="23"/>
      <c r="BN475" s="23"/>
      <c r="BO475" s="23"/>
      <c r="BP475" s="23"/>
      <c r="BQ475" s="23"/>
      <c r="BR475" s="23"/>
      <c r="BS475" s="23"/>
      <c r="BT475" s="23"/>
      <c r="BU475" s="23"/>
      <c r="BV475" s="23"/>
      <c r="BW475" s="23"/>
      <c r="BX475" s="23"/>
      <c r="BY475" s="23"/>
      <c r="BZ475" s="23"/>
      <c r="CA475" s="23"/>
      <c r="CB475" s="23"/>
      <c r="CC475" s="23"/>
      <c r="CD475" s="23"/>
      <c r="CE475" s="23"/>
      <c r="CF475" s="23"/>
      <c r="CG475" s="23"/>
      <c r="CH475" s="27"/>
      <c r="CI475" s="27"/>
      <c r="CJ475" s="28"/>
      <c r="CK475" s="28" t="str">
        <f>AP475</f>
        <v>0.5</v>
      </c>
      <c r="CL475" s="39"/>
    </row>
    <row r="476" spans="2:90" ht="16.7" customHeight="1" x14ac:dyDescent="0.25">
      <c r="B476" s="22"/>
      <c r="C476" s="23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29"/>
      <c r="AR476" s="29"/>
      <c r="AS476" s="29"/>
      <c r="AT476" s="29"/>
      <c r="AU476" s="29"/>
      <c r="AV476" s="29"/>
      <c r="AW476" s="29"/>
      <c r="AX476" s="29"/>
      <c r="AY476" s="29"/>
      <c r="AZ476" s="29"/>
      <c r="BA476" s="29"/>
      <c r="BB476" s="29"/>
      <c r="BC476" s="29"/>
      <c r="BD476" s="29"/>
      <c r="BE476" s="29"/>
      <c r="BF476" s="29"/>
      <c r="BG476" s="29"/>
      <c r="BH476" s="29"/>
      <c r="BI476" s="29"/>
      <c r="BJ476" s="29"/>
      <c r="BK476" s="29"/>
      <c r="BL476" s="23"/>
      <c r="BM476" s="23"/>
      <c r="BN476" s="23"/>
      <c r="BO476" s="23"/>
      <c r="BP476" s="23"/>
      <c r="BQ476" s="23"/>
      <c r="BR476" s="23"/>
      <c r="BS476" s="23"/>
      <c r="BT476" s="23"/>
      <c r="BU476" s="23"/>
      <c r="BV476" s="23"/>
      <c r="BW476" s="23"/>
      <c r="BX476" s="23"/>
      <c r="BY476" s="23"/>
      <c r="BZ476" s="23"/>
      <c r="CA476" s="23"/>
      <c r="CB476" s="23"/>
      <c r="CC476" s="23"/>
      <c r="CD476" s="34"/>
      <c r="CE476" s="34"/>
      <c r="CF476" s="34"/>
      <c r="CG476" s="34"/>
      <c r="CH476" s="27"/>
      <c r="CI476" s="27"/>
      <c r="CJ476" s="28"/>
      <c r="CK476" s="28"/>
      <c r="CL476" s="57"/>
    </row>
    <row r="477" spans="2:90" ht="16.7" customHeight="1" x14ac:dyDescent="0.25">
      <c r="B477" s="22"/>
      <c r="C477" s="23"/>
      <c r="D477" s="23" t="s">
        <v>237</v>
      </c>
      <c r="E477" s="23"/>
      <c r="F477" s="23"/>
      <c r="G477" s="23" t="s">
        <v>289</v>
      </c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  <c r="BD477" s="23"/>
      <c r="BE477" s="23"/>
      <c r="BF477" s="23"/>
      <c r="BG477" s="29"/>
      <c r="BH477" s="29"/>
      <c r="BI477" s="29"/>
      <c r="BJ477" s="29"/>
      <c r="BK477" s="29"/>
      <c r="BL477" s="23"/>
      <c r="BM477" s="23"/>
      <c r="BN477" s="23"/>
      <c r="BO477" s="23"/>
      <c r="BP477" s="23"/>
      <c r="BQ477" s="23"/>
      <c r="BR477" s="23"/>
      <c r="BS477" s="23"/>
      <c r="BT477" s="23"/>
      <c r="BU477" s="23"/>
      <c r="BV477" s="23"/>
      <c r="BW477" s="23"/>
      <c r="BX477" s="23"/>
      <c r="BY477" s="23"/>
      <c r="BZ477" s="23"/>
      <c r="CA477" s="23"/>
      <c r="CB477" s="23"/>
      <c r="CC477" s="23"/>
      <c r="CD477" s="34"/>
      <c r="CE477" s="34"/>
      <c r="CF477" s="34"/>
      <c r="CG477" s="34"/>
      <c r="CH477" s="27"/>
      <c r="CI477" s="27"/>
      <c r="CJ477" s="28"/>
      <c r="CK477" s="28"/>
      <c r="CL477" s="57"/>
    </row>
    <row r="478" spans="2:90" ht="16.7" customHeight="1" x14ac:dyDescent="0.25">
      <c r="B478" s="22"/>
      <c r="C478" s="23"/>
      <c r="E478" s="23"/>
      <c r="F478" s="23"/>
      <c r="G478" s="23"/>
      <c r="H478" s="23" t="s">
        <v>290</v>
      </c>
      <c r="I478" s="23"/>
      <c r="J478" s="23"/>
      <c r="K478" s="23"/>
      <c r="L478" s="23"/>
      <c r="M478" s="23"/>
      <c r="N478" s="23"/>
      <c r="O478" s="23"/>
      <c r="P478" s="23" t="str">
        <f>TEXT([1]노임및중기단가!I15,"#,##0.#######")</f>
        <v>194,484.</v>
      </c>
      <c r="Q478" s="23"/>
      <c r="R478" s="23"/>
      <c r="S478" s="23"/>
      <c r="T478" s="23"/>
      <c r="U478" s="23"/>
      <c r="V478" s="23"/>
      <c r="W478" s="23" t="s">
        <v>102</v>
      </c>
      <c r="X478" s="23"/>
      <c r="Y478" s="23"/>
      <c r="Z478" s="23" t="str">
        <f>TEXT(3,"#,##0.#######")</f>
        <v>3.</v>
      </c>
      <c r="AA478" s="23"/>
      <c r="AB478" s="23"/>
      <c r="AC478" s="23" t="s">
        <v>243</v>
      </c>
      <c r="AD478" s="23"/>
      <c r="AE478" s="23"/>
      <c r="AF478" s="23" t="s">
        <v>122</v>
      </c>
      <c r="AG478" s="29"/>
      <c r="AH478" s="23"/>
      <c r="AI478" s="23" t="str">
        <f>TEXT(50,"#,##0.#######")</f>
        <v>50.</v>
      </c>
      <c r="AJ478" s="23"/>
      <c r="AK478" s="23"/>
      <c r="AL478" s="29"/>
      <c r="AM478" s="23" t="s">
        <v>286</v>
      </c>
      <c r="AN478" s="23"/>
      <c r="AO478" s="23"/>
      <c r="AP478" s="23"/>
      <c r="AQ478" s="23"/>
      <c r="AR478" s="23"/>
      <c r="AS478" s="23" t="s">
        <v>103</v>
      </c>
      <c r="AT478" s="23"/>
      <c r="AU478" s="23"/>
      <c r="AV478" s="23" t="str">
        <f>TEXT(TRUNC(P478*Z478/(AI478),1),"#,##0.#")</f>
        <v>11,669.</v>
      </c>
      <c r="AW478" s="23"/>
      <c r="AX478" s="23"/>
      <c r="AY478" s="23"/>
      <c r="AZ478" s="23"/>
      <c r="BA478" s="23" t="s">
        <v>288</v>
      </c>
      <c r="BB478" s="23"/>
      <c r="BC478" s="23"/>
      <c r="BD478" s="23"/>
      <c r="BE478" s="29"/>
      <c r="BF478" s="29"/>
      <c r="BG478" s="29"/>
      <c r="BH478" s="29"/>
      <c r="BI478" s="29"/>
      <c r="BJ478" s="29"/>
      <c r="BK478" s="29"/>
      <c r="BL478" s="23"/>
      <c r="BM478" s="23"/>
      <c r="BN478" s="23"/>
      <c r="BO478" s="23"/>
      <c r="BP478" s="23"/>
      <c r="BQ478" s="23"/>
      <c r="BR478" s="23"/>
      <c r="BS478" s="23"/>
      <c r="BT478" s="23"/>
      <c r="BU478" s="23"/>
      <c r="BV478" s="23"/>
      <c r="BW478" s="23"/>
      <c r="BX478" s="23"/>
      <c r="BY478" s="23"/>
      <c r="BZ478" s="23"/>
      <c r="CA478" s="23"/>
      <c r="CB478" s="23"/>
      <c r="CC478" s="23"/>
      <c r="CD478" s="34"/>
      <c r="CE478" s="34"/>
      <c r="CF478" s="34"/>
      <c r="CG478" s="34"/>
      <c r="CH478" s="27"/>
      <c r="CI478" s="27" t="str">
        <f>AV478</f>
        <v>11,669.</v>
      </c>
      <c r="CJ478" s="28"/>
      <c r="CK478" s="28"/>
      <c r="CL478" s="57"/>
    </row>
    <row r="479" spans="2:90" ht="16.7" customHeight="1" x14ac:dyDescent="0.25">
      <c r="B479" s="22"/>
      <c r="C479" s="23"/>
      <c r="D479" s="23"/>
      <c r="E479" s="23"/>
      <c r="F479" s="23"/>
      <c r="G479" s="23"/>
      <c r="H479" s="23" t="s">
        <v>242</v>
      </c>
      <c r="I479" s="23"/>
      <c r="J479" s="23"/>
      <c r="K479" s="23"/>
      <c r="L479" s="23"/>
      <c r="M479" s="23"/>
      <c r="N479" s="23"/>
      <c r="O479" s="23"/>
      <c r="P479" s="23" t="str">
        <f>TEXT([1]노임및중기단가!I8,"#,##0.#######")</f>
        <v>138,290.</v>
      </c>
      <c r="Q479" s="23"/>
      <c r="R479" s="23"/>
      <c r="S479" s="23"/>
      <c r="T479" s="23"/>
      <c r="U479" s="23"/>
      <c r="V479" s="23"/>
      <c r="W479" s="23" t="s">
        <v>102</v>
      </c>
      <c r="X479" s="23"/>
      <c r="Y479" s="23"/>
      <c r="Z479" s="23" t="str">
        <f>TEXT(1,"#,##0.#######")</f>
        <v>1.</v>
      </c>
      <c r="AA479" s="23"/>
      <c r="AB479" s="23"/>
      <c r="AC479" s="23" t="s">
        <v>243</v>
      </c>
      <c r="AD479" s="23"/>
      <c r="AE479" s="23"/>
      <c r="AF479" s="23" t="s">
        <v>122</v>
      </c>
      <c r="AG479" s="29"/>
      <c r="AH479" s="23"/>
      <c r="AI479" s="23" t="str">
        <f>TEXT(50,"#,##0.#######")</f>
        <v>50.</v>
      </c>
      <c r="AJ479" s="23"/>
      <c r="AK479" s="23"/>
      <c r="AL479" s="29"/>
      <c r="AM479" s="23" t="s">
        <v>286</v>
      </c>
      <c r="AN479" s="23"/>
      <c r="AO479" s="23"/>
      <c r="AP479" s="23"/>
      <c r="AQ479" s="23"/>
      <c r="AR479" s="23"/>
      <c r="AS479" s="23" t="s">
        <v>103</v>
      </c>
      <c r="AT479" s="23"/>
      <c r="AU479" s="23"/>
      <c r="AV479" s="23" t="str">
        <f>TEXT(TRUNC(P479*Z479/(AI479),1),"#,##0.#")</f>
        <v>2,765.8</v>
      </c>
      <c r="AW479" s="23"/>
      <c r="AX479" s="23"/>
      <c r="AY479" s="23"/>
      <c r="AZ479" s="23"/>
      <c r="BA479" s="23" t="s">
        <v>288</v>
      </c>
      <c r="BB479" s="23"/>
      <c r="BC479" s="23"/>
      <c r="BD479" s="23"/>
      <c r="BE479" s="23"/>
      <c r="BF479" s="23"/>
      <c r="BG479" s="29"/>
      <c r="BH479" s="29"/>
      <c r="BI479" s="23"/>
      <c r="BJ479" s="23"/>
      <c r="BK479" s="23"/>
      <c r="BL479" s="23"/>
      <c r="BM479" s="23"/>
      <c r="BN479" s="23"/>
      <c r="BO479" s="23"/>
      <c r="BP479" s="23"/>
      <c r="BQ479" s="23"/>
      <c r="BR479" s="23"/>
      <c r="BS479" s="23"/>
      <c r="BT479" s="23"/>
      <c r="BU479" s="23"/>
      <c r="BV479" s="23"/>
      <c r="BW479" s="23"/>
      <c r="BX479" s="23"/>
      <c r="BY479" s="23"/>
      <c r="BZ479" s="23"/>
      <c r="CA479" s="23"/>
      <c r="CB479" s="23"/>
      <c r="CC479" s="23"/>
      <c r="CD479" s="34"/>
      <c r="CE479" s="34"/>
      <c r="CF479" s="34"/>
      <c r="CG479" s="34"/>
      <c r="CH479" s="27"/>
      <c r="CI479" s="27" t="str">
        <f>AV479</f>
        <v>2,765.8</v>
      </c>
      <c r="CJ479" s="28"/>
      <c r="CK479" s="28"/>
      <c r="CL479" s="57"/>
    </row>
    <row r="480" spans="2:90" ht="16.7" customHeight="1" x14ac:dyDescent="0.25">
      <c r="B480" s="22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  <c r="BD480" s="23"/>
      <c r="BE480" s="23"/>
      <c r="BF480" s="23"/>
      <c r="BG480" s="23"/>
      <c r="BH480" s="23"/>
      <c r="BI480" s="23"/>
      <c r="BJ480" s="23"/>
      <c r="BK480" s="23"/>
      <c r="BL480" s="23"/>
      <c r="BM480" s="23"/>
      <c r="BN480" s="23"/>
      <c r="BO480" s="23"/>
      <c r="BP480" s="23"/>
      <c r="BQ480" s="23"/>
      <c r="BR480" s="23"/>
      <c r="BS480" s="23"/>
      <c r="BT480" s="23"/>
      <c r="BU480" s="23"/>
      <c r="BV480" s="23"/>
      <c r="BW480" s="23"/>
      <c r="BX480" s="23"/>
      <c r="BY480" s="23"/>
      <c r="BZ480" s="23"/>
      <c r="CA480" s="23"/>
      <c r="CB480" s="23"/>
      <c r="CC480" s="23"/>
      <c r="CD480" s="23"/>
      <c r="CE480" s="23"/>
      <c r="CF480" s="23"/>
      <c r="CG480" s="23"/>
      <c r="CH480" s="24"/>
      <c r="CI480" s="24"/>
      <c r="CJ480" s="25"/>
      <c r="CK480" s="52"/>
      <c r="CL480" s="56"/>
    </row>
    <row r="481" spans="2:90" ht="16.7" customHeight="1" x14ac:dyDescent="0.25">
      <c r="B481" s="22"/>
      <c r="C481" s="23"/>
      <c r="D481" s="23" t="s">
        <v>85</v>
      </c>
      <c r="E481" s="23"/>
      <c r="F481" s="23"/>
      <c r="G481" s="23" t="s">
        <v>291</v>
      </c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23"/>
      <c r="BC481" s="23"/>
      <c r="BD481" s="23"/>
      <c r="BE481" s="23"/>
      <c r="BF481" s="23"/>
      <c r="BG481" s="23"/>
      <c r="BH481" s="23"/>
      <c r="BI481" s="23"/>
      <c r="BJ481" s="23"/>
      <c r="BK481" s="23"/>
      <c r="BL481" s="23"/>
      <c r="BM481" s="23"/>
      <c r="BN481" s="23"/>
      <c r="BO481" s="23"/>
      <c r="BP481" s="23"/>
      <c r="BQ481" s="23"/>
      <c r="BR481" s="23"/>
      <c r="BS481" s="23"/>
      <c r="BT481" s="23"/>
      <c r="BU481" s="23"/>
      <c r="BV481" s="23"/>
      <c r="BW481" s="23"/>
      <c r="BX481" s="23"/>
      <c r="BY481" s="23"/>
      <c r="BZ481" s="23"/>
      <c r="CA481" s="23"/>
      <c r="CB481" s="23"/>
      <c r="CC481" s="23"/>
      <c r="CD481" s="23"/>
      <c r="CE481" s="23"/>
      <c r="CF481" s="23"/>
      <c r="CG481" s="23"/>
      <c r="CH481" s="24"/>
      <c r="CI481" s="24"/>
      <c r="CJ481" s="25"/>
      <c r="CK481" s="52"/>
      <c r="CL481" s="56"/>
    </row>
    <row r="482" spans="2:90" ht="16.7" customHeight="1" x14ac:dyDescent="0.25">
      <c r="B482" s="22"/>
      <c r="C482" s="23"/>
      <c r="D482" s="23"/>
      <c r="E482" s="23"/>
      <c r="F482" s="23"/>
      <c r="G482" s="23"/>
      <c r="H482" s="23" t="s">
        <v>120</v>
      </c>
      <c r="I482" s="23"/>
      <c r="J482" s="23"/>
      <c r="K482" s="23"/>
      <c r="L482" s="23"/>
      <c r="M482" s="23" t="s">
        <v>121</v>
      </c>
      <c r="N482" s="23" t="str">
        <f>TEXT([1]기계경비총괄표!G21,"#,##0.#######")</f>
        <v>293,704.</v>
      </c>
      <c r="O482" s="23"/>
      <c r="P482" s="23"/>
      <c r="Q482" s="23"/>
      <c r="R482" s="23"/>
      <c r="S482" s="23"/>
      <c r="T482" s="23"/>
      <c r="U482" s="23" t="s">
        <v>122</v>
      </c>
      <c r="V482" s="23"/>
      <c r="W482" s="23"/>
      <c r="X482" s="23" t="str">
        <f>TEXT($K$472,"#,##0.#######")</f>
        <v>400.</v>
      </c>
      <c r="Y482" s="23"/>
      <c r="Z482" s="23"/>
      <c r="AA482" s="23" t="s">
        <v>286</v>
      </c>
      <c r="AB482" s="29"/>
      <c r="AC482" s="29"/>
      <c r="AD482" s="29"/>
      <c r="AE482" s="20"/>
      <c r="AF482" s="20"/>
      <c r="AG482" s="23" t="s">
        <v>102</v>
      </c>
      <c r="AH482" s="23"/>
      <c r="AI482" s="23"/>
      <c r="AJ482" s="23" t="str">
        <f>TEXT(2,"#,##0.#######")</f>
        <v>2.</v>
      </c>
      <c r="AK482" s="23"/>
      <c r="AL482" s="23" t="s">
        <v>257</v>
      </c>
      <c r="AM482" s="29"/>
      <c r="AN482" s="29"/>
      <c r="AO482" s="23" t="s">
        <v>103</v>
      </c>
      <c r="AP482" s="23"/>
      <c r="AQ482" s="23"/>
      <c r="AR482" s="23" t="str">
        <f>TEXT(TRUNC((N482/X482)*AJ482,1),"#,##0.#")</f>
        <v>1,468.5</v>
      </c>
      <c r="AS482" s="23"/>
      <c r="AT482" s="23"/>
      <c r="AU482" s="23"/>
      <c r="AV482" s="23"/>
      <c r="AW482" s="23" t="s">
        <v>288</v>
      </c>
      <c r="AX482" s="23"/>
      <c r="AY482" s="23"/>
      <c r="AZ482" s="23"/>
      <c r="BA482" s="23"/>
      <c r="BB482" s="23"/>
      <c r="BC482" s="23"/>
      <c r="BD482" s="23"/>
      <c r="BE482" s="23"/>
      <c r="BF482" s="23"/>
      <c r="BG482" s="23"/>
      <c r="BH482" s="23"/>
      <c r="BI482" s="23"/>
      <c r="BJ482" s="23"/>
      <c r="BK482" s="23"/>
      <c r="BL482" s="23"/>
      <c r="BM482" s="23"/>
      <c r="BN482" s="23"/>
      <c r="BO482" s="23"/>
      <c r="BP482" s="23"/>
      <c r="BQ482" s="23"/>
      <c r="BR482" s="23"/>
      <c r="BS482" s="23"/>
      <c r="BT482" s="23"/>
      <c r="BU482" s="23"/>
      <c r="BV482" s="23"/>
      <c r="BW482" s="23"/>
      <c r="BX482" s="23"/>
      <c r="BY482" s="23"/>
      <c r="BZ482" s="23"/>
      <c r="CA482" s="23"/>
      <c r="CB482" s="23"/>
      <c r="CC482" s="23"/>
      <c r="CD482" s="23"/>
      <c r="CE482" s="23"/>
      <c r="CF482" s="23"/>
      <c r="CG482" s="23"/>
      <c r="CH482" s="24"/>
      <c r="CI482" s="24"/>
      <c r="CJ482" s="25"/>
      <c r="CK482" s="52"/>
      <c r="CL482" s="56"/>
    </row>
    <row r="483" spans="2:90" ht="16.7" customHeight="1" x14ac:dyDescent="0.25">
      <c r="B483" s="22"/>
      <c r="C483" s="23"/>
      <c r="D483" s="23"/>
      <c r="E483" s="23"/>
      <c r="F483" s="23"/>
      <c r="G483" s="23"/>
      <c r="H483" s="23" t="s">
        <v>123</v>
      </c>
      <c r="I483" s="23"/>
      <c r="J483" s="23"/>
      <c r="K483" s="23"/>
      <c r="L483" s="23"/>
      <c r="M483" s="23" t="s">
        <v>121</v>
      </c>
      <c r="N483" s="23" t="str">
        <f>TEXT([1]기계경비총괄표!F21,"#,##0.#######")</f>
        <v>39,795.2</v>
      </c>
      <c r="O483" s="23"/>
      <c r="P483" s="23"/>
      <c r="Q483" s="23"/>
      <c r="R483" s="23"/>
      <c r="S483" s="23"/>
      <c r="T483" s="23"/>
      <c r="U483" s="23" t="s">
        <v>122</v>
      </c>
      <c r="V483" s="23"/>
      <c r="W483" s="23"/>
      <c r="X483" s="23" t="str">
        <f>TEXT($K$472,"#,##0.#######")</f>
        <v>400.</v>
      </c>
      <c r="Y483" s="23"/>
      <c r="Z483" s="23"/>
      <c r="AA483" s="23" t="s">
        <v>286</v>
      </c>
      <c r="AB483" s="29"/>
      <c r="AC483" s="29"/>
      <c r="AD483" s="29"/>
      <c r="AE483" s="20"/>
      <c r="AF483" s="20"/>
      <c r="AG483" s="23" t="s">
        <v>102</v>
      </c>
      <c r="AH483" s="23"/>
      <c r="AI483" s="23"/>
      <c r="AJ483" s="23" t="str">
        <f>TEXT(2,"#,##0.#######")</f>
        <v>2.</v>
      </c>
      <c r="AK483" s="23"/>
      <c r="AL483" s="23" t="s">
        <v>257</v>
      </c>
      <c r="AM483" s="29"/>
      <c r="AN483" s="29"/>
      <c r="AO483" s="23" t="s">
        <v>103</v>
      </c>
      <c r="AP483" s="23"/>
      <c r="AQ483" s="23"/>
      <c r="AR483" s="23" t="str">
        <f>TEXT(TRUNC((N483/X483)*AJ483,1),"#,##0.#")</f>
        <v>198.9</v>
      </c>
      <c r="AS483" s="23"/>
      <c r="AT483" s="23"/>
      <c r="AU483" s="23"/>
      <c r="AV483" s="23"/>
      <c r="AW483" s="23" t="s">
        <v>288</v>
      </c>
      <c r="AX483" s="23"/>
      <c r="AY483" s="23"/>
      <c r="AZ483" s="23"/>
      <c r="BA483" s="23"/>
      <c r="BB483" s="23"/>
      <c r="BC483" s="23"/>
      <c r="BD483" s="23"/>
      <c r="BE483" s="23"/>
      <c r="BF483" s="23"/>
      <c r="BG483" s="23"/>
      <c r="BH483" s="23"/>
      <c r="BI483" s="23"/>
      <c r="BJ483" s="23"/>
      <c r="BK483" s="23"/>
      <c r="BL483" s="23"/>
      <c r="BM483" s="23"/>
      <c r="BN483" s="23"/>
      <c r="BO483" s="23"/>
      <c r="BP483" s="23"/>
      <c r="BQ483" s="23"/>
      <c r="BR483" s="23"/>
      <c r="BS483" s="23"/>
      <c r="BT483" s="23"/>
      <c r="BU483" s="23"/>
      <c r="BV483" s="23"/>
      <c r="BW483" s="23"/>
      <c r="BX483" s="23"/>
      <c r="BY483" s="23"/>
      <c r="BZ483" s="23"/>
      <c r="CA483" s="23"/>
      <c r="CB483" s="23"/>
      <c r="CC483" s="23"/>
      <c r="CD483" s="23"/>
      <c r="CE483" s="23"/>
      <c r="CF483" s="23"/>
      <c r="CG483" s="23"/>
      <c r="CH483" s="24"/>
      <c r="CI483" s="24"/>
      <c r="CJ483" s="25"/>
      <c r="CK483" s="52"/>
      <c r="CL483" s="56"/>
    </row>
    <row r="484" spans="2:90" ht="16.7" customHeight="1" x14ac:dyDescent="0.25">
      <c r="B484" s="22"/>
      <c r="C484" s="23"/>
      <c r="D484" s="23"/>
      <c r="E484" s="23"/>
      <c r="F484" s="23"/>
      <c r="G484" s="23"/>
      <c r="H484" s="23" t="s">
        <v>172</v>
      </c>
      <c r="I484" s="23"/>
      <c r="J484" s="23"/>
      <c r="K484" s="23"/>
      <c r="L484" s="23" t="s">
        <v>121</v>
      </c>
      <c r="M484" s="23"/>
      <c r="N484" s="23" t="str">
        <f>TEXT([1]기계경비총괄표!H21,"#,##0.#######")</f>
        <v>46,484.</v>
      </c>
      <c r="O484" s="23"/>
      <c r="P484" s="23"/>
      <c r="Q484" s="23"/>
      <c r="R484" s="23"/>
      <c r="S484" s="23"/>
      <c r="T484" s="23"/>
      <c r="U484" s="23" t="s">
        <v>122</v>
      </c>
      <c r="V484" s="23"/>
      <c r="W484" s="23"/>
      <c r="X484" s="23" t="str">
        <f>TEXT($K$472,"#,##0.#######")</f>
        <v>400.</v>
      </c>
      <c r="Y484" s="23"/>
      <c r="Z484" s="23"/>
      <c r="AA484" s="23" t="s">
        <v>286</v>
      </c>
      <c r="AB484" s="29"/>
      <c r="AC484" s="29"/>
      <c r="AD484" s="29"/>
      <c r="AE484" s="20"/>
      <c r="AF484" s="20"/>
      <c r="AG484" s="23" t="s">
        <v>102</v>
      </c>
      <c r="AH484" s="23"/>
      <c r="AI484" s="23"/>
      <c r="AJ484" s="23" t="str">
        <f>TEXT(2,"#,##0.#######")</f>
        <v>2.</v>
      </c>
      <c r="AK484" s="23"/>
      <c r="AL484" s="23" t="s">
        <v>257</v>
      </c>
      <c r="AM484" s="29"/>
      <c r="AN484" s="29"/>
      <c r="AO484" s="23" t="s">
        <v>103</v>
      </c>
      <c r="AP484" s="23"/>
      <c r="AQ484" s="23"/>
      <c r="AR484" s="23" t="str">
        <f>TEXT(TRUNC((N484/X484)*AJ484,1),"#,##0.#")</f>
        <v>232.4</v>
      </c>
      <c r="AS484" s="23"/>
      <c r="AT484" s="23"/>
      <c r="AU484" s="23"/>
      <c r="AV484" s="23"/>
      <c r="AW484" s="23" t="s">
        <v>288</v>
      </c>
      <c r="AX484" s="23"/>
      <c r="AY484" s="23"/>
      <c r="AZ484" s="23"/>
      <c r="BA484" s="23"/>
      <c r="BB484" s="23"/>
      <c r="BC484" s="23"/>
      <c r="BD484" s="23"/>
      <c r="BE484" s="23"/>
      <c r="BF484" s="23"/>
      <c r="BG484" s="23"/>
      <c r="BH484" s="23"/>
      <c r="BI484" s="23"/>
      <c r="BJ484" s="23"/>
      <c r="BK484" s="23"/>
      <c r="BL484" s="23"/>
      <c r="BM484" s="23"/>
      <c r="BN484" s="23"/>
      <c r="BO484" s="23"/>
      <c r="BP484" s="23"/>
      <c r="BQ484" s="23"/>
      <c r="BR484" s="23"/>
      <c r="BS484" s="23"/>
      <c r="BT484" s="23"/>
      <c r="BU484" s="23"/>
      <c r="BV484" s="23"/>
      <c r="BW484" s="23"/>
      <c r="BX484" s="23"/>
      <c r="BY484" s="23"/>
      <c r="BZ484" s="23"/>
      <c r="CA484" s="23"/>
      <c r="CB484" s="23"/>
      <c r="CC484" s="23"/>
      <c r="CD484" s="23"/>
      <c r="CE484" s="23"/>
      <c r="CF484" s="23"/>
      <c r="CG484" s="23"/>
      <c r="CH484" s="24"/>
      <c r="CI484" s="24"/>
      <c r="CJ484" s="25"/>
      <c r="CK484" s="52"/>
      <c r="CL484" s="56"/>
    </row>
    <row r="485" spans="2:90" ht="16.7" customHeight="1" x14ac:dyDescent="0.25">
      <c r="B485" s="22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9"/>
      <c r="AC485" s="29"/>
      <c r="AD485" s="29"/>
      <c r="AE485" s="23"/>
      <c r="AF485" s="23"/>
      <c r="AG485" s="23"/>
      <c r="AH485" s="23"/>
      <c r="AI485" s="23"/>
      <c r="AJ485" s="23"/>
      <c r="AK485" s="29"/>
      <c r="AL485" s="29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  <c r="BD485" s="23"/>
      <c r="BE485" s="23"/>
      <c r="BF485" s="23"/>
      <c r="BG485" s="23"/>
      <c r="BH485" s="23"/>
      <c r="BI485" s="23"/>
      <c r="BJ485" s="23"/>
      <c r="BK485" s="23"/>
      <c r="BL485" s="23"/>
      <c r="BM485" s="23"/>
      <c r="BN485" s="23"/>
      <c r="BO485" s="23"/>
      <c r="BP485" s="23"/>
      <c r="BQ485" s="23"/>
      <c r="BR485" s="23"/>
      <c r="BS485" s="23"/>
      <c r="BT485" s="23"/>
      <c r="BU485" s="23"/>
      <c r="BV485" s="23"/>
      <c r="BW485" s="23"/>
      <c r="BX485" s="23"/>
      <c r="BY485" s="23"/>
      <c r="BZ485" s="23"/>
      <c r="CA485" s="23"/>
      <c r="CB485" s="23"/>
      <c r="CC485" s="23"/>
      <c r="CD485" s="23"/>
      <c r="CE485" s="23"/>
      <c r="CF485" s="23"/>
      <c r="CG485" s="23"/>
      <c r="CH485" s="24"/>
      <c r="CI485" s="24"/>
      <c r="CJ485" s="25"/>
      <c r="CK485" s="52"/>
      <c r="CL485" s="56"/>
    </row>
    <row r="486" spans="2:90" ht="16.7" customHeight="1" x14ac:dyDescent="0.25">
      <c r="B486" s="22"/>
      <c r="C486" s="23"/>
      <c r="D486" s="23"/>
      <c r="E486" s="23"/>
      <c r="F486" s="23"/>
      <c r="G486" s="23" t="s">
        <v>120</v>
      </c>
      <c r="H486" s="23"/>
      <c r="I486" s="23"/>
      <c r="J486" s="23"/>
      <c r="K486" s="23"/>
      <c r="L486" s="23"/>
      <c r="M486" s="23"/>
      <c r="N486" s="23" t="s">
        <v>121</v>
      </c>
      <c r="O486" s="23" t="s">
        <v>96</v>
      </c>
      <c r="P486" s="23" t="str">
        <f>AP473</f>
        <v>28.9</v>
      </c>
      <c r="Q486" s="23"/>
      <c r="R486" s="23"/>
      <c r="S486" s="23"/>
      <c r="T486" s="23"/>
      <c r="U486" s="23" t="s">
        <v>97</v>
      </c>
      <c r="V486" s="23"/>
      <c r="W486" s="29"/>
      <c r="X486" s="23" t="str">
        <f>AV478</f>
        <v>11,669.</v>
      </c>
      <c r="Y486" s="23"/>
      <c r="Z486" s="23"/>
      <c r="AA486" s="23"/>
      <c r="AB486" s="20"/>
      <c r="AC486" s="20"/>
      <c r="AD486" s="23" t="s">
        <v>97</v>
      </c>
      <c r="AE486" s="23"/>
      <c r="AF486" s="23"/>
      <c r="AG486" s="23" t="str">
        <f>AV479</f>
        <v>2,765.8</v>
      </c>
      <c r="AH486" s="23"/>
      <c r="AI486" s="23"/>
      <c r="AJ486" s="23"/>
      <c r="AK486" s="23"/>
      <c r="AL486" s="20"/>
      <c r="AM486" s="23" t="s">
        <v>97</v>
      </c>
      <c r="AN486" s="23"/>
      <c r="AO486" s="23"/>
      <c r="AP486" s="23" t="str">
        <f>AR482</f>
        <v>1,468.5</v>
      </c>
      <c r="AQ486" s="23"/>
      <c r="AR486" s="23"/>
      <c r="AS486" s="23"/>
      <c r="AT486" s="23"/>
      <c r="AU486" s="23" t="s">
        <v>101</v>
      </c>
      <c r="AV486" s="23" t="s">
        <v>102</v>
      </c>
      <c r="AW486" s="23"/>
      <c r="AX486" s="23" t="str">
        <f>TEXT(0.79,"#,##0.#######")</f>
        <v>0.79</v>
      </c>
      <c r="AY486" s="20"/>
      <c r="AZ486" s="20"/>
      <c r="BA486" s="20"/>
      <c r="BB486" s="23" t="s">
        <v>103</v>
      </c>
      <c r="BC486" s="23"/>
      <c r="BD486" s="23" t="str">
        <f>TEXT(TRUNC((P486+X486+AG486+AP486)*AX486,1),"#,##0.#")</f>
        <v>12,586.4</v>
      </c>
      <c r="BE486" s="23"/>
      <c r="BF486" s="23"/>
      <c r="BG486" s="23"/>
      <c r="BH486" s="29"/>
      <c r="BI486" s="29"/>
      <c r="BJ486" s="23"/>
      <c r="BK486" s="23"/>
      <c r="BL486" s="23"/>
      <c r="BM486" s="23"/>
      <c r="BN486" s="23"/>
      <c r="BO486" s="23"/>
      <c r="BP486" s="23"/>
      <c r="BQ486" s="23"/>
      <c r="BR486" s="23"/>
      <c r="BS486" s="23"/>
      <c r="BT486" s="23"/>
      <c r="BU486" s="23"/>
      <c r="BV486" s="23"/>
      <c r="BW486" s="23"/>
      <c r="BX486" s="23"/>
      <c r="BY486" s="23"/>
      <c r="BZ486" s="23"/>
      <c r="CA486" s="23"/>
      <c r="CB486" s="23"/>
      <c r="CC486" s="23"/>
      <c r="CD486" s="23"/>
      <c r="CE486" s="23"/>
      <c r="CF486" s="23"/>
      <c r="CG486" s="23"/>
      <c r="CH486" s="24"/>
      <c r="CI486" s="45"/>
      <c r="CJ486" s="25"/>
      <c r="CK486" s="25"/>
      <c r="CL486" s="56"/>
    </row>
    <row r="487" spans="2:90" ht="16.7" customHeight="1" x14ac:dyDescent="0.25">
      <c r="B487" s="22"/>
      <c r="C487" s="23"/>
      <c r="D487" s="29"/>
      <c r="E487" s="29"/>
      <c r="F487" s="29"/>
      <c r="G487" s="23" t="s">
        <v>123</v>
      </c>
      <c r="H487" s="23"/>
      <c r="I487" s="23"/>
      <c r="J487" s="23"/>
      <c r="K487" s="23"/>
      <c r="L487" s="23"/>
      <c r="M487" s="23"/>
      <c r="N487" s="23" t="s">
        <v>121</v>
      </c>
      <c r="O487" s="23" t="s">
        <v>96</v>
      </c>
      <c r="P487" s="23" t="str">
        <f>AE469</f>
        <v>42,432.</v>
      </c>
      <c r="Q487" s="23"/>
      <c r="R487" s="23"/>
      <c r="S487" s="23"/>
      <c r="T487" s="23"/>
      <c r="U487" s="23" t="s">
        <v>97</v>
      </c>
      <c r="V487" s="23"/>
      <c r="W487" s="29"/>
      <c r="X487" s="23" t="str">
        <f>AP474</f>
        <v>1.6</v>
      </c>
      <c r="Y487" s="23"/>
      <c r="Z487" s="23"/>
      <c r="AA487" s="23"/>
      <c r="AB487" s="23"/>
      <c r="AC487" s="23"/>
      <c r="AD487" s="23" t="s">
        <v>97</v>
      </c>
      <c r="AE487" s="23"/>
      <c r="AF487" s="23"/>
      <c r="AG487" s="23" t="str">
        <f>AR483</f>
        <v>198.9</v>
      </c>
      <c r="AH487" s="23"/>
      <c r="AI487" s="23"/>
      <c r="AJ487" s="23"/>
      <c r="AK487" s="23"/>
      <c r="AL487" s="20"/>
      <c r="AM487" s="20"/>
      <c r="AN487" s="20"/>
      <c r="AO487" s="20"/>
      <c r="AP487" s="20"/>
      <c r="AQ487" s="20"/>
      <c r="AR487" s="20"/>
      <c r="AS487" s="29"/>
      <c r="AT487" s="20"/>
      <c r="AU487" s="23" t="s">
        <v>101</v>
      </c>
      <c r="AV487" s="23" t="s">
        <v>102</v>
      </c>
      <c r="AW487" s="23"/>
      <c r="AX487" s="23" t="str">
        <f>TEXT(0.79,"#,##0.#######")</f>
        <v>0.79</v>
      </c>
      <c r="AY487" s="20"/>
      <c r="AZ487" s="20"/>
      <c r="BA487" s="20"/>
      <c r="BB487" s="23" t="s">
        <v>103</v>
      </c>
      <c r="BC487" s="23"/>
      <c r="BD487" s="23" t="str">
        <f>TEXT(TRUNC((P487+X487+AG487+AP487)*AX487,1),"#,##0.#")</f>
        <v>33,679.6</v>
      </c>
      <c r="BE487" s="23"/>
      <c r="BF487" s="23"/>
      <c r="BG487" s="23"/>
      <c r="BH487" s="29"/>
      <c r="BI487" s="29"/>
      <c r="BJ487" s="23"/>
      <c r="BK487" s="23"/>
      <c r="BL487" s="23"/>
      <c r="BM487" s="23"/>
      <c r="BN487" s="23"/>
      <c r="BO487" s="23"/>
      <c r="BP487" s="23"/>
      <c r="BQ487" s="23"/>
      <c r="BR487" s="23"/>
      <c r="BS487" s="23"/>
      <c r="BT487" s="23"/>
      <c r="BU487" s="23"/>
      <c r="BV487" s="23"/>
      <c r="BW487" s="23"/>
      <c r="BX487" s="23"/>
      <c r="BY487" s="23"/>
      <c r="BZ487" s="23"/>
      <c r="CA487" s="23"/>
      <c r="CB487" s="23"/>
      <c r="CC487" s="23"/>
      <c r="CD487" s="23"/>
      <c r="CE487" s="23"/>
      <c r="CF487" s="23"/>
      <c r="CG487" s="23"/>
      <c r="CH487" s="27"/>
      <c r="CI487" s="27"/>
      <c r="CJ487" s="28"/>
      <c r="CK487" s="28"/>
      <c r="CL487" s="39"/>
    </row>
    <row r="488" spans="2:90" ht="16.7" customHeight="1" x14ac:dyDescent="0.25">
      <c r="B488" s="22"/>
      <c r="C488" s="23"/>
      <c r="D488" s="29"/>
      <c r="E488" s="29"/>
      <c r="F488" s="29"/>
      <c r="G488" s="23" t="s">
        <v>124</v>
      </c>
      <c r="H488" s="23"/>
      <c r="I488" s="23"/>
      <c r="J488" s="23"/>
      <c r="K488" s="23" t="s">
        <v>125</v>
      </c>
      <c r="L488" s="23"/>
      <c r="M488" s="23"/>
      <c r="N488" s="23" t="s">
        <v>121</v>
      </c>
      <c r="O488" s="23" t="s">
        <v>96</v>
      </c>
      <c r="P488" s="23" t="str">
        <f>AP475</f>
        <v>0.5</v>
      </c>
      <c r="Q488" s="23"/>
      <c r="R488" s="23"/>
      <c r="S488" s="23"/>
      <c r="T488" s="23"/>
      <c r="U488" s="23" t="s">
        <v>97</v>
      </c>
      <c r="V488" s="23"/>
      <c r="W488" s="29"/>
      <c r="X488" s="23" t="str">
        <f>AR484</f>
        <v>232.4</v>
      </c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0"/>
      <c r="AL488" s="20"/>
      <c r="AM488" s="20"/>
      <c r="AN488" s="20"/>
      <c r="AO488" s="20"/>
      <c r="AP488" s="20"/>
      <c r="AQ488" s="20"/>
      <c r="AR488" s="20"/>
      <c r="AS488" s="29"/>
      <c r="AT488" s="20"/>
      <c r="AU488" s="23" t="s">
        <v>101</v>
      </c>
      <c r="AV488" s="23" t="s">
        <v>102</v>
      </c>
      <c r="AW488" s="23"/>
      <c r="AX488" s="23" t="str">
        <f>TEXT(0.79,"#,##0.#######")</f>
        <v>0.79</v>
      </c>
      <c r="AY488" s="20"/>
      <c r="AZ488" s="20"/>
      <c r="BA488" s="20"/>
      <c r="BB488" s="23" t="s">
        <v>103</v>
      </c>
      <c r="BC488" s="23"/>
      <c r="BD488" s="23" t="str">
        <f>TEXT(TRUNC((P488+X488+AG488+AP488)*AX488,1),"#,##0.#")</f>
        <v>183.9</v>
      </c>
      <c r="BE488" s="23"/>
      <c r="BF488" s="23"/>
      <c r="BG488" s="23"/>
      <c r="BH488" s="29"/>
      <c r="BI488" s="29"/>
      <c r="BJ488" s="23"/>
      <c r="BK488" s="23"/>
      <c r="BL488" s="23"/>
      <c r="BM488" s="23"/>
      <c r="BN488" s="23"/>
      <c r="BO488" s="23"/>
      <c r="BP488" s="23"/>
      <c r="BQ488" s="23"/>
      <c r="BR488" s="23"/>
      <c r="BS488" s="23"/>
      <c r="BT488" s="23"/>
      <c r="BU488" s="23"/>
      <c r="BV488" s="23"/>
      <c r="BW488" s="23"/>
      <c r="BX488" s="23"/>
      <c r="BY488" s="23"/>
      <c r="BZ488" s="23"/>
      <c r="CA488" s="23"/>
      <c r="CB488" s="23"/>
      <c r="CC488" s="23"/>
      <c r="CD488" s="23"/>
      <c r="CE488" s="23"/>
      <c r="CF488" s="23"/>
      <c r="CG488" s="23"/>
      <c r="CH488" s="27">
        <f>CI488+CJ488+CK488</f>
        <v>46449.9</v>
      </c>
      <c r="CI488" s="27" t="str">
        <f>BD486</f>
        <v>12,586.4</v>
      </c>
      <c r="CJ488" s="28" t="str">
        <f>BD487</f>
        <v>33,679.6</v>
      </c>
      <c r="CK488" s="28" t="str">
        <f>BD488</f>
        <v>183.9</v>
      </c>
      <c r="CL488" s="39"/>
    </row>
    <row r="489" spans="2:90" ht="16.7" customHeight="1" x14ac:dyDescent="0.25">
      <c r="B489" s="22"/>
      <c r="C489" s="23"/>
      <c r="D489" s="29"/>
      <c r="E489" s="29"/>
      <c r="F489" s="29"/>
      <c r="G489" s="23" t="s">
        <v>126</v>
      </c>
      <c r="H489" s="23"/>
      <c r="I489" s="23"/>
      <c r="J489" s="23"/>
      <c r="K489" s="23" t="s">
        <v>127</v>
      </c>
      <c r="L489" s="23"/>
      <c r="M489" s="23"/>
      <c r="N489" s="23" t="s">
        <v>121</v>
      </c>
      <c r="O489" s="23"/>
      <c r="P489" s="23" t="str">
        <f>TEXT(BD486+BD487+BD488,"#,##0.#######")</f>
        <v>46,449.9</v>
      </c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9"/>
      <c r="AZ489" s="29"/>
      <c r="BA489" s="29"/>
      <c r="BB489" s="29"/>
      <c r="BC489" s="23"/>
      <c r="BD489" s="23"/>
      <c r="BE489" s="23"/>
      <c r="BF489" s="23"/>
      <c r="BG489" s="23"/>
      <c r="BH489" s="23"/>
      <c r="BI489" s="23"/>
      <c r="BJ489" s="23"/>
      <c r="BK489" s="23"/>
      <c r="BL489" s="23"/>
      <c r="BM489" s="23"/>
      <c r="BN489" s="23"/>
      <c r="BO489" s="23"/>
      <c r="BP489" s="23"/>
      <c r="BQ489" s="23"/>
      <c r="BR489" s="23"/>
      <c r="BS489" s="23"/>
      <c r="BT489" s="23"/>
      <c r="BU489" s="23"/>
      <c r="BV489" s="23"/>
      <c r="BW489" s="23"/>
      <c r="BX489" s="23"/>
      <c r="BY489" s="23"/>
      <c r="BZ489" s="23"/>
      <c r="CA489" s="23"/>
      <c r="CB489" s="23"/>
      <c r="CC489" s="23"/>
      <c r="CD489" s="23"/>
      <c r="CE489" s="23"/>
      <c r="CF489" s="23"/>
      <c r="CG489" s="23"/>
      <c r="CH489" s="27"/>
      <c r="CI489" s="27"/>
      <c r="CJ489" s="28"/>
      <c r="CK489" s="28"/>
      <c r="CL489" s="39"/>
    </row>
    <row r="490" spans="2:90" ht="16.7" customHeight="1" x14ac:dyDescent="0.25">
      <c r="B490" s="22"/>
      <c r="C490" s="23"/>
      <c r="D490" s="29"/>
      <c r="E490" s="29"/>
      <c r="F490" s="29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9"/>
      <c r="AZ490" s="29"/>
      <c r="BA490" s="29"/>
      <c r="BB490" s="29"/>
      <c r="BC490" s="23"/>
      <c r="BD490" s="23"/>
      <c r="BE490" s="23"/>
      <c r="BF490" s="23"/>
      <c r="BG490" s="23"/>
      <c r="BH490" s="23"/>
      <c r="BI490" s="23"/>
      <c r="BJ490" s="23"/>
      <c r="BK490" s="23"/>
      <c r="BL490" s="23"/>
      <c r="BM490" s="23"/>
      <c r="BN490" s="23"/>
      <c r="BO490" s="23"/>
      <c r="BP490" s="23"/>
      <c r="BQ490" s="23"/>
      <c r="BR490" s="23"/>
      <c r="BS490" s="23"/>
      <c r="BT490" s="23"/>
      <c r="BU490" s="23"/>
      <c r="BV490" s="23"/>
      <c r="BW490" s="23"/>
      <c r="BX490" s="23"/>
      <c r="BY490" s="23"/>
      <c r="BZ490" s="23"/>
      <c r="CA490" s="23"/>
      <c r="CB490" s="23"/>
      <c r="CC490" s="23"/>
      <c r="CD490" s="23"/>
      <c r="CE490" s="23"/>
      <c r="CF490" s="23"/>
      <c r="CG490" s="23"/>
      <c r="CH490" s="27"/>
      <c r="CI490" s="27"/>
      <c r="CJ490" s="28"/>
      <c r="CK490" s="28"/>
      <c r="CL490" s="39"/>
    </row>
    <row r="491" spans="2:90" ht="17.45" customHeight="1" x14ac:dyDescent="0.25">
      <c r="B491" s="46" t="s">
        <v>292</v>
      </c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  <c r="AA491" s="47"/>
      <c r="AB491" s="47"/>
      <c r="AC491" s="47"/>
      <c r="AD491" s="47"/>
      <c r="AE491" s="47"/>
      <c r="AF491" s="47"/>
      <c r="AG491" s="47"/>
      <c r="AH491" s="47"/>
      <c r="AI491" s="47"/>
      <c r="AJ491" s="47"/>
      <c r="AK491" s="47"/>
      <c r="AL491" s="47"/>
      <c r="AM491" s="47"/>
      <c r="AN491" s="47"/>
      <c r="AO491" s="47"/>
      <c r="AP491" s="47"/>
      <c r="AQ491" s="47"/>
      <c r="AR491" s="47"/>
      <c r="AS491" s="47"/>
      <c r="AT491" s="47"/>
      <c r="AU491" s="47"/>
      <c r="AV491" s="47"/>
      <c r="AW491" s="47"/>
      <c r="AX491" s="47"/>
      <c r="AY491" s="47"/>
      <c r="AZ491" s="47"/>
      <c r="BA491" s="47"/>
      <c r="BB491" s="47"/>
      <c r="BC491" s="47"/>
      <c r="BD491" s="47"/>
      <c r="BE491" s="47"/>
      <c r="BF491" s="47"/>
      <c r="BG491" s="47"/>
      <c r="BH491" s="47"/>
      <c r="BI491" s="47"/>
      <c r="BJ491" s="47"/>
      <c r="BK491" s="47"/>
      <c r="BL491" s="47"/>
      <c r="BM491" s="47"/>
      <c r="BN491" s="47"/>
      <c r="BO491" s="47"/>
      <c r="BP491" s="47"/>
      <c r="BQ491" s="47"/>
      <c r="BR491" s="47"/>
      <c r="BS491" s="47"/>
      <c r="BT491" s="47"/>
      <c r="BU491" s="47"/>
      <c r="BV491" s="47"/>
      <c r="BW491" s="47"/>
      <c r="BX491" s="47"/>
      <c r="BY491" s="47"/>
      <c r="BZ491" s="47"/>
      <c r="CA491" s="47"/>
      <c r="CB491" s="47"/>
      <c r="CC491" s="47"/>
      <c r="CD491" s="47"/>
      <c r="CE491" s="47"/>
      <c r="CF491" s="47"/>
      <c r="CG491" s="47"/>
      <c r="CH491" s="48">
        <f>TRUNC(CI491+CJ491+CK491,0)</f>
        <v>13231</v>
      </c>
      <c r="CI491" s="48">
        <f>TRUNC(CI500,0)</f>
        <v>12062</v>
      </c>
      <c r="CJ491" s="49">
        <f>TRUNC(CJ501,0)</f>
        <v>770</v>
      </c>
      <c r="CK491" s="49">
        <f>TRUNC(CK502,0)</f>
        <v>399</v>
      </c>
      <c r="CL491" s="98">
        <v>8220</v>
      </c>
    </row>
    <row r="492" spans="2:90" ht="17.45" customHeight="1" x14ac:dyDescent="0.25">
      <c r="B492" s="26"/>
      <c r="C492" s="23"/>
      <c r="D492" s="23" t="s">
        <v>94</v>
      </c>
      <c r="E492" s="23"/>
      <c r="F492" s="23"/>
      <c r="G492" s="23" t="s">
        <v>293</v>
      </c>
      <c r="H492" s="23"/>
      <c r="I492" s="23"/>
      <c r="J492" s="23"/>
      <c r="K492" s="23"/>
      <c r="L492" s="23"/>
      <c r="M492" s="23" t="s">
        <v>121</v>
      </c>
      <c r="N492" s="23"/>
      <c r="O492" s="23" t="s">
        <v>294</v>
      </c>
      <c r="P492" s="23"/>
      <c r="Q492" s="23"/>
      <c r="R492" s="23"/>
      <c r="S492" s="23"/>
      <c r="T492" s="23"/>
      <c r="U492" s="23"/>
      <c r="V492" s="23"/>
      <c r="W492" s="23"/>
      <c r="X492" s="23"/>
      <c r="Y492" s="23" t="s">
        <v>157</v>
      </c>
      <c r="Z492" s="23"/>
      <c r="AA492" s="23"/>
      <c r="AB492" s="23"/>
      <c r="AC492" s="23"/>
      <c r="AD492" s="23"/>
      <c r="AE492" s="23"/>
      <c r="AF492" s="23"/>
      <c r="AG492" s="23"/>
      <c r="AH492" s="29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  <c r="BB492" s="23"/>
      <c r="BC492" s="23"/>
      <c r="BD492" s="23"/>
      <c r="BE492" s="23"/>
      <c r="BF492" s="23"/>
      <c r="BG492" s="23"/>
      <c r="BH492" s="23"/>
      <c r="BI492" s="23"/>
      <c r="BJ492" s="23"/>
      <c r="BK492" s="23"/>
      <c r="BL492" s="23"/>
      <c r="BM492" s="23"/>
      <c r="BN492" s="23"/>
      <c r="BO492" s="23"/>
      <c r="BP492" s="23"/>
      <c r="BQ492" s="23"/>
      <c r="BR492" s="23"/>
      <c r="BS492" s="23"/>
      <c r="BT492" s="23"/>
      <c r="BU492" s="23"/>
      <c r="BV492" s="23"/>
      <c r="BW492" s="23"/>
      <c r="BX492" s="23"/>
      <c r="BY492" s="23"/>
      <c r="BZ492" s="23"/>
      <c r="CA492" s="23"/>
      <c r="CB492" s="23"/>
      <c r="CC492" s="23"/>
      <c r="CD492" s="23"/>
      <c r="CE492" s="23"/>
      <c r="CF492" s="23"/>
      <c r="CG492" s="23"/>
      <c r="CH492" s="27"/>
      <c r="CI492" s="27"/>
      <c r="CJ492" s="28"/>
      <c r="CK492" s="28"/>
      <c r="CL492" s="39" t="s">
        <v>295</v>
      </c>
    </row>
    <row r="493" spans="2:90" ht="17.45" customHeight="1" x14ac:dyDescent="0.25">
      <c r="B493" s="26"/>
      <c r="C493" s="23"/>
      <c r="D493" s="23"/>
      <c r="E493" s="23"/>
      <c r="F493" s="23"/>
      <c r="G493" s="23" t="s">
        <v>296</v>
      </c>
      <c r="H493" s="23"/>
      <c r="I493" s="23" t="s">
        <v>297</v>
      </c>
      <c r="J493" s="23"/>
      <c r="K493" s="23" t="str">
        <f>TEXT(0.2,"#,##0.#######")</f>
        <v>0.2</v>
      </c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9"/>
      <c r="AC493" s="29"/>
      <c r="AD493" s="23"/>
      <c r="AE493" s="29"/>
      <c r="AF493" s="29"/>
      <c r="AG493" s="29"/>
      <c r="AH493" s="29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23"/>
      <c r="BC493" s="23"/>
      <c r="BD493" s="23"/>
      <c r="BE493" s="23"/>
      <c r="BF493" s="23"/>
      <c r="BG493" s="23"/>
      <c r="BH493" s="23"/>
      <c r="BI493" s="23"/>
      <c r="BJ493" s="23"/>
      <c r="BK493" s="23"/>
      <c r="BL493" s="23"/>
      <c r="BM493" s="23"/>
      <c r="BN493" s="23"/>
      <c r="BO493" s="23"/>
      <c r="BP493" s="23"/>
      <c r="BQ493" s="23"/>
      <c r="BR493" s="23"/>
      <c r="BS493" s="23"/>
      <c r="BT493" s="23"/>
      <c r="BU493" s="23"/>
      <c r="BV493" s="23"/>
      <c r="BW493" s="23"/>
      <c r="BX493" s="23"/>
      <c r="BY493" s="23"/>
      <c r="BZ493" s="23"/>
      <c r="CA493" s="23"/>
      <c r="CB493" s="23"/>
      <c r="CC493" s="23"/>
      <c r="CD493" s="23"/>
      <c r="CE493" s="23"/>
      <c r="CF493" s="23"/>
      <c r="CG493" s="23"/>
      <c r="CH493" s="27"/>
      <c r="CI493" s="27"/>
      <c r="CJ493" s="28"/>
      <c r="CK493" s="28"/>
      <c r="CL493" s="39"/>
    </row>
    <row r="494" spans="2:90" ht="17.45" customHeight="1" x14ac:dyDescent="0.25">
      <c r="B494" s="26"/>
      <c r="C494" s="23"/>
      <c r="D494" s="23"/>
      <c r="E494" s="23"/>
      <c r="F494" s="23"/>
      <c r="G494" s="23" t="s">
        <v>298</v>
      </c>
      <c r="H494" s="23"/>
      <c r="I494" s="23" t="s">
        <v>297</v>
      </c>
      <c r="J494" s="23"/>
      <c r="K494" s="23" t="str">
        <f>TEXT(0.8,"#,##0.#######")</f>
        <v>0.8</v>
      </c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  <c r="BB494" s="23"/>
      <c r="BC494" s="23"/>
      <c r="BD494" s="23"/>
      <c r="BE494" s="23"/>
      <c r="BF494" s="23"/>
      <c r="BG494" s="23"/>
      <c r="BH494" s="23"/>
      <c r="BI494" s="23"/>
      <c r="BJ494" s="23"/>
      <c r="BK494" s="23"/>
      <c r="BL494" s="23"/>
      <c r="BM494" s="23"/>
      <c r="BN494" s="23"/>
      <c r="BO494" s="23"/>
      <c r="BP494" s="23"/>
      <c r="BQ494" s="23"/>
      <c r="BR494" s="23"/>
      <c r="BS494" s="23"/>
      <c r="BT494" s="23"/>
      <c r="BU494" s="23"/>
      <c r="BV494" s="23"/>
      <c r="BW494" s="23"/>
      <c r="BX494" s="23"/>
      <c r="BY494" s="23"/>
      <c r="BZ494" s="23"/>
      <c r="CA494" s="23"/>
      <c r="CB494" s="23"/>
      <c r="CC494" s="23"/>
      <c r="CD494" s="23"/>
      <c r="CE494" s="23"/>
      <c r="CF494" s="23"/>
      <c r="CG494" s="23"/>
      <c r="CH494" s="27"/>
      <c r="CI494" s="27"/>
      <c r="CJ494" s="28"/>
      <c r="CK494" s="28"/>
      <c r="CL494" s="39"/>
    </row>
    <row r="495" spans="2:90" ht="17.45" customHeight="1" x14ac:dyDescent="0.25">
      <c r="B495" s="26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  <c r="BD495" s="23"/>
      <c r="BE495" s="23"/>
      <c r="BF495" s="23"/>
      <c r="BG495" s="23"/>
      <c r="BH495" s="23"/>
      <c r="BI495" s="23"/>
      <c r="BJ495" s="23"/>
      <c r="BK495" s="23"/>
      <c r="BL495" s="23"/>
      <c r="BM495" s="23"/>
      <c r="BN495" s="23"/>
      <c r="BO495" s="23"/>
      <c r="BP495" s="23"/>
      <c r="BQ495" s="23"/>
      <c r="BR495" s="23"/>
      <c r="BS495" s="23"/>
      <c r="BT495" s="23"/>
      <c r="BU495" s="23"/>
      <c r="BV495" s="23"/>
      <c r="BW495" s="23"/>
      <c r="BX495" s="23"/>
      <c r="BY495" s="23"/>
      <c r="BZ495" s="23"/>
      <c r="CA495" s="23"/>
      <c r="CB495" s="23"/>
      <c r="CC495" s="23"/>
      <c r="CD495" s="23"/>
      <c r="CE495" s="23"/>
      <c r="CF495" s="23"/>
      <c r="CG495" s="23"/>
      <c r="CH495" s="27"/>
      <c r="CI495" s="27"/>
      <c r="CJ495" s="28"/>
      <c r="CK495" s="28"/>
      <c r="CL495" s="39"/>
    </row>
    <row r="496" spans="2:90" ht="17.45" customHeight="1" x14ac:dyDescent="0.25">
      <c r="B496" s="26"/>
      <c r="C496" s="23"/>
      <c r="D496" s="23"/>
      <c r="E496" s="23"/>
      <c r="F496" s="23"/>
      <c r="G496" s="23"/>
      <c r="H496" s="23"/>
      <c r="I496" s="23"/>
      <c r="J496" s="23"/>
      <c r="K496" s="23"/>
      <c r="L496" s="29"/>
      <c r="M496" s="23" t="str">
        <f>TEXT(60,"#,##0.#######")</f>
        <v>60.</v>
      </c>
      <c r="N496" s="23"/>
      <c r="O496" s="23"/>
      <c r="P496" s="29"/>
      <c r="Q496" s="23" t="s">
        <v>299</v>
      </c>
      <c r="R496" s="29"/>
      <c r="S496" s="29"/>
      <c r="T496" s="23" t="s">
        <v>296</v>
      </c>
      <c r="U496" s="29"/>
      <c r="V496" s="23"/>
      <c r="W496" s="23" t="s">
        <v>299</v>
      </c>
      <c r="X496" s="23"/>
      <c r="Y496" s="23"/>
      <c r="Z496" s="23" t="s">
        <v>298</v>
      </c>
      <c r="AA496" s="23"/>
      <c r="AB496" s="29"/>
      <c r="AC496" s="23"/>
      <c r="AD496" s="23"/>
      <c r="AE496" s="23"/>
      <c r="AF496" s="23"/>
      <c r="AG496" s="23"/>
      <c r="AH496" s="23"/>
      <c r="AI496" s="29"/>
      <c r="AJ496" s="29"/>
      <c r="AK496" s="29"/>
      <c r="AL496" s="29"/>
      <c r="AM496" s="23" t="str">
        <f>TEXT(M496,"#,##0.#######")</f>
        <v>60.</v>
      </c>
      <c r="AN496" s="23"/>
      <c r="AO496" s="23"/>
      <c r="AP496" s="23"/>
      <c r="AQ496" s="23"/>
      <c r="AR496" s="23" t="s">
        <v>299</v>
      </c>
      <c r="AS496" s="23"/>
      <c r="AT496" s="23" t="str">
        <f>TEXT(K493,"#,##0.#######")</f>
        <v>0.2</v>
      </c>
      <c r="AU496" s="23"/>
      <c r="AV496" s="23"/>
      <c r="AW496" s="23"/>
      <c r="AX496" s="23"/>
      <c r="AY496" s="23" t="s">
        <v>299</v>
      </c>
      <c r="AZ496" s="23"/>
      <c r="BA496" s="23" t="str">
        <f>TEXT(K494,"#,##0.#######")</f>
        <v>0.8</v>
      </c>
      <c r="BB496" s="23"/>
      <c r="BC496" s="23"/>
      <c r="BD496" s="29"/>
      <c r="BE496" s="29"/>
      <c r="BF496" s="29"/>
      <c r="BG496" s="29"/>
      <c r="BH496" s="23"/>
      <c r="BI496" s="29"/>
      <c r="BJ496" s="23"/>
      <c r="BK496" s="23"/>
      <c r="BL496" s="23"/>
      <c r="BM496" s="23"/>
      <c r="BN496" s="23"/>
      <c r="BO496" s="23"/>
      <c r="BP496" s="23"/>
      <c r="BQ496" s="23"/>
      <c r="BR496" s="23"/>
      <c r="BS496" s="23"/>
      <c r="BT496" s="23"/>
      <c r="BU496" s="23"/>
      <c r="BV496" s="23"/>
      <c r="BW496" s="23"/>
      <c r="BX496" s="23"/>
      <c r="BY496" s="23"/>
      <c r="BZ496" s="23"/>
      <c r="CA496" s="23"/>
      <c r="CB496" s="23"/>
      <c r="CC496" s="23"/>
      <c r="CD496" s="23"/>
      <c r="CE496" s="23"/>
      <c r="CF496" s="23"/>
      <c r="CG496" s="23"/>
      <c r="CH496" s="27"/>
      <c r="CI496" s="27"/>
      <c r="CJ496" s="28"/>
      <c r="CK496" s="28"/>
      <c r="CL496" s="39"/>
    </row>
    <row r="497" spans="2:90" ht="17.45" customHeight="1" x14ac:dyDescent="0.25">
      <c r="B497" s="26"/>
      <c r="C497" s="23"/>
      <c r="D497" s="23"/>
      <c r="E497" s="23"/>
      <c r="F497" s="23"/>
      <c r="G497" s="23" t="s">
        <v>300</v>
      </c>
      <c r="H497" s="23"/>
      <c r="I497" s="23" t="s">
        <v>297</v>
      </c>
      <c r="J497" s="23"/>
      <c r="K497" s="23" t="s">
        <v>301</v>
      </c>
      <c r="L497" s="23"/>
      <c r="M497" s="23" t="s">
        <v>301</v>
      </c>
      <c r="N497" s="23"/>
      <c r="O497" s="23" t="s">
        <v>301</v>
      </c>
      <c r="P497" s="23"/>
      <c r="Q497" s="23" t="s">
        <v>301</v>
      </c>
      <c r="R497" s="23"/>
      <c r="S497" s="23" t="s">
        <v>301</v>
      </c>
      <c r="T497" s="23"/>
      <c r="U497" s="23" t="s">
        <v>301</v>
      </c>
      <c r="V497" s="23"/>
      <c r="W497" s="23" t="s">
        <v>301</v>
      </c>
      <c r="X497" s="23"/>
      <c r="Y497" s="23" t="s">
        <v>301</v>
      </c>
      <c r="Z497" s="23"/>
      <c r="AA497" s="23" t="s">
        <v>301</v>
      </c>
      <c r="AB497" s="23"/>
      <c r="AC497" s="23" t="s">
        <v>301</v>
      </c>
      <c r="AD497" s="23"/>
      <c r="AE497" s="23"/>
      <c r="AF497" s="23" t="s">
        <v>297</v>
      </c>
      <c r="AG497" s="23"/>
      <c r="AH497" s="23" t="s">
        <v>301</v>
      </c>
      <c r="AI497" s="23"/>
      <c r="AJ497" s="23" t="s">
        <v>301</v>
      </c>
      <c r="AK497" s="23"/>
      <c r="AL497" s="23" t="s">
        <v>301</v>
      </c>
      <c r="AM497" s="23"/>
      <c r="AN497" s="23" t="s">
        <v>301</v>
      </c>
      <c r="AO497" s="23"/>
      <c r="AP497" s="23" t="s">
        <v>301</v>
      </c>
      <c r="AQ497" s="23"/>
      <c r="AR497" s="23" t="s">
        <v>301</v>
      </c>
      <c r="AS497" s="23"/>
      <c r="AT497" s="23" t="s">
        <v>301</v>
      </c>
      <c r="AU497" s="23"/>
      <c r="AV497" s="23" t="s">
        <v>301</v>
      </c>
      <c r="AW497" s="23"/>
      <c r="AX497" s="23" t="s">
        <v>301</v>
      </c>
      <c r="AY497" s="23"/>
      <c r="AZ497" s="23" t="s">
        <v>301</v>
      </c>
      <c r="BA497" s="23"/>
      <c r="BB497" s="23" t="s">
        <v>301</v>
      </c>
      <c r="BC497" s="23"/>
      <c r="BD497" s="23" t="s">
        <v>301</v>
      </c>
      <c r="BE497" s="23"/>
      <c r="BF497" s="23" t="s">
        <v>301</v>
      </c>
      <c r="BG497" s="23"/>
      <c r="BH497" s="23"/>
      <c r="BI497" s="23" t="s">
        <v>297</v>
      </c>
      <c r="BJ497" s="23"/>
      <c r="BK497" s="23" t="str">
        <f>TEXT(ROUND((60*K493*K494)/(AT498),2),"#,##0.#######")</f>
        <v>2.4</v>
      </c>
      <c r="BL497" s="23"/>
      <c r="BM497" s="23"/>
      <c r="BN497" s="23"/>
      <c r="BO497" s="23"/>
      <c r="BP497" s="23"/>
      <c r="BQ497" s="23"/>
      <c r="BR497" s="23" t="s">
        <v>302</v>
      </c>
      <c r="BS497" s="23"/>
      <c r="BT497" s="23" t="s">
        <v>303</v>
      </c>
      <c r="BU497" s="23" t="s">
        <v>304</v>
      </c>
      <c r="BV497" s="23"/>
      <c r="BW497" s="23"/>
      <c r="BX497" s="23"/>
      <c r="BY497" s="23"/>
      <c r="BZ497" s="23"/>
      <c r="CA497" s="23"/>
      <c r="CB497" s="23"/>
      <c r="CC497" s="23"/>
      <c r="CD497" s="23"/>
      <c r="CE497" s="23"/>
      <c r="CF497" s="23"/>
      <c r="CG497" s="23"/>
      <c r="CH497" s="27"/>
      <c r="CI497" s="27"/>
      <c r="CJ497" s="28"/>
      <c r="CK497" s="28"/>
      <c r="CL497" s="39"/>
    </row>
    <row r="498" spans="2:90" ht="17.45" customHeight="1" x14ac:dyDescent="0.25">
      <c r="B498" s="26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 t="str">
        <f>TEXT(4,"#,##0.#######")</f>
        <v>4.</v>
      </c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 t="str">
        <f>TEXT(R498,"#,##0.#######")</f>
        <v>4.</v>
      </c>
      <c r="AU498" s="23"/>
      <c r="AV498" s="23"/>
      <c r="AW498" s="23"/>
      <c r="AX498" s="23"/>
      <c r="AY498" s="23"/>
      <c r="AZ498" s="23"/>
      <c r="BA498" s="23"/>
      <c r="BB498" s="23"/>
      <c r="BC498" s="23"/>
      <c r="BD498" s="23"/>
      <c r="BE498" s="23"/>
      <c r="BF498" s="23"/>
      <c r="BG498" s="23"/>
      <c r="BH498" s="23"/>
      <c r="BI498" s="23"/>
      <c r="BJ498" s="23"/>
      <c r="BK498" s="23"/>
      <c r="BL498" s="23"/>
      <c r="BM498" s="23"/>
      <c r="BN498" s="23"/>
      <c r="BO498" s="23"/>
      <c r="BP498" s="23"/>
      <c r="BQ498" s="23"/>
      <c r="BR498" s="23"/>
      <c r="BS498" s="23"/>
      <c r="BT498" s="23"/>
      <c r="BU498" s="23"/>
      <c r="BV498" s="23"/>
      <c r="BW498" s="23"/>
      <c r="BX498" s="23"/>
      <c r="BY498" s="23"/>
      <c r="BZ498" s="23"/>
      <c r="CA498" s="23"/>
      <c r="CB498" s="23"/>
      <c r="CC498" s="23"/>
      <c r="CD498" s="23"/>
      <c r="CE498" s="23"/>
      <c r="CF498" s="23"/>
      <c r="CG498" s="23"/>
      <c r="CH498" s="27"/>
      <c r="CI498" s="27"/>
      <c r="CJ498" s="28"/>
      <c r="CK498" s="28"/>
      <c r="CL498" s="39"/>
    </row>
    <row r="499" spans="2:90" ht="17.45" customHeight="1" x14ac:dyDescent="0.25">
      <c r="B499" s="26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23"/>
      <c r="BC499" s="23"/>
      <c r="BD499" s="23"/>
      <c r="BE499" s="23"/>
      <c r="BF499" s="23"/>
      <c r="BG499" s="23"/>
      <c r="BH499" s="23"/>
      <c r="BI499" s="23"/>
      <c r="BJ499" s="23"/>
      <c r="BK499" s="23"/>
      <c r="BL499" s="23"/>
      <c r="BM499" s="23"/>
      <c r="BN499" s="23"/>
      <c r="BO499" s="23"/>
      <c r="BP499" s="23"/>
      <c r="BQ499" s="23"/>
      <c r="BR499" s="23"/>
      <c r="BS499" s="23"/>
      <c r="BT499" s="23"/>
      <c r="BU499" s="23"/>
      <c r="BV499" s="23"/>
      <c r="BW499" s="23"/>
      <c r="BX499" s="23"/>
      <c r="BY499" s="23"/>
      <c r="BZ499" s="23"/>
      <c r="CA499" s="23"/>
      <c r="CB499" s="23"/>
      <c r="CC499" s="23"/>
      <c r="CD499" s="23"/>
      <c r="CE499" s="23"/>
      <c r="CF499" s="23"/>
      <c r="CG499" s="23"/>
      <c r="CH499" s="27"/>
      <c r="CI499" s="27"/>
      <c r="CJ499" s="28"/>
      <c r="CK499" s="28"/>
      <c r="CL499" s="39"/>
    </row>
    <row r="500" spans="2:90" ht="17.45" customHeight="1" x14ac:dyDescent="0.25">
      <c r="B500" s="26"/>
      <c r="C500" s="23"/>
      <c r="D500" s="23"/>
      <c r="E500" s="23"/>
      <c r="F500" s="23"/>
      <c r="G500" s="23" t="s">
        <v>305</v>
      </c>
      <c r="H500" s="23"/>
      <c r="I500" s="23"/>
      <c r="J500" s="23"/>
      <c r="K500" s="23"/>
      <c r="L500" s="23"/>
      <c r="M500" s="23"/>
      <c r="N500" s="23" t="s">
        <v>306</v>
      </c>
      <c r="O500" s="23"/>
      <c r="P500" s="23" t="str">
        <f>TEXT([1]기계경비총괄표!G46,"#,##0.#######")</f>
        <v>28,949.</v>
      </c>
      <c r="Q500" s="23"/>
      <c r="R500" s="23"/>
      <c r="S500" s="23"/>
      <c r="T500" s="23"/>
      <c r="U500" s="23"/>
      <c r="V500" s="23"/>
      <c r="W500" s="23"/>
      <c r="X500" s="23"/>
      <c r="Y500" s="23" t="s">
        <v>307</v>
      </c>
      <c r="Z500" s="23"/>
      <c r="AA500" s="23"/>
      <c r="AB500" s="23" t="str">
        <f>TEXT(BK497,"#,##0.#######")</f>
        <v>2.4</v>
      </c>
      <c r="AC500" s="23"/>
      <c r="AD500" s="23"/>
      <c r="AE500" s="23"/>
      <c r="AF500" s="23"/>
      <c r="AG500" s="23" t="s">
        <v>297</v>
      </c>
      <c r="AH500" s="23"/>
      <c r="AI500" s="23" t="str">
        <f>TEXT(TRUNC(P500/BK497,1),"#,##0.#")</f>
        <v>12,062.</v>
      </c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  <c r="BB500" s="23"/>
      <c r="BC500" s="23"/>
      <c r="BD500" s="23"/>
      <c r="BE500" s="23"/>
      <c r="BF500" s="23"/>
      <c r="BG500" s="23"/>
      <c r="BH500" s="23"/>
      <c r="BI500" s="23"/>
      <c r="BJ500" s="23"/>
      <c r="BK500" s="23"/>
      <c r="BL500" s="23"/>
      <c r="BM500" s="23"/>
      <c r="BN500" s="23"/>
      <c r="BO500" s="23"/>
      <c r="BP500" s="23"/>
      <c r="BQ500" s="23"/>
      <c r="BR500" s="23"/>
      <c r="BS500" s="23"/>
      <c r="BT500" s="23"/>
      <c r="BU500" s="23"/>
      <c r="BV500" s="23"/>
      <c r="BW500" s="23"/>
      <c r="BX500" s="23"/>
      <c r="BY500" s="23"/>
      <c r="BZ500" s="23"/>
      <c r="CA500" s="23"/>
      <c r="CB500" s="23"/>
      <c r="CC500" s="23"/>
      <c r="CD500" s="23"/>
      <c r="CE500" s="23"/>
      <c r="CF500" s="23"/>
      <c r="CG500" s="23"/>
      <c r="CH500" s="27"/>
      <c r="CI500" s="27" t="str">
        <f>AI500</f>
        <v>12,062.</v>
      </c>
      <c r="CJ500" s="28"/>
      <c r="CK500" s="28"/>
      <c r="CL500" s="39"/>
    </row>
    <row r="501" spans="2:90" ht="17.45" customHeight="1" x14ac:dyDescent="0.25">
      <c r="B501" s="26"/>
      <c r="C501" s="23"/>
      <c r="D501" s="23"/>
      <c r="E501" s="23"/>
      <c r="F501" s="23"/>
      <c r="G501" s="23" t="s">
        <v>308</v>
      </c>
      <c r="H501" s="23"/>
      <c r="I501" s="23"/>
      <c r="J501" s="23"/>
      <c r="K501" s="23"/>
      <c r="L501" s="23"/>
      <c r="M501" s="23"/>
      <c r="N501" s="23" t="s">
        <v>306</v>
      </c>
      <c r="O501" s="23"/>
      <c r="P501" s="23" t="str">
        <f>TEXT([1]기계경비총괄표!F46,"#,##0.#######")</f>
        <v>1,849.7</v>
      </c>
      <c r="Q501" s="23"/>
      <c r="R501" s="23"/>
      <c r="S501" s="23"/>
      <c r="T501" s="23"/>
      <c r="U501" s="23"/>
      <c r="V501" s="23"/>
      <c r="W501" s="23"/>
      <c r="X501" s="23"/>
      <c r="Y501" s="23" t="s">
        <v>307</v>
      </c>
      <c r="Z501" s="23"/>
      <c r="AA501" s="23"/>
      <c r="AB501" s="23" t="str">
        <f>TEXT(BK497,"#,##0.#######")</f>
        <v>2.4</v>
      </c>
      <c r="AC501" s="23"/>
      <c r="AD501" s="23"/>
      <c r="AE501" s="23"/>
      <c r="AF501" s="23"/>
      <c r="AG501" s="23" t="s">
        <v>297</v>
      </c>
      <c r="AH501" s="23"/>
      <c r="AI501" s="23" t="str">
        <f>TEXT(TRUNC(P501/BK497,1),"#,##0.#")</f>
        <v>770.7</v>
      </c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  <c r="BD501" s="23"/>
      <c r="BE501" s="23"/>
      <c r="BF501" s="23"/>
      <c r="BG501" s="23"/>
      <c r="BH501" s="23"/>
      <c r="BI501" s="23"/>
      <c r="BJ501" s="23"/>
      <c r="BK501" s="23"/>
      <c r="BL501" s="23"/>
      <c r="BM501" s="23"/>
      <c r="BN501" s="23"/>
      <c r="BO501" s="23"/>
      <c r="BP501" s="23"/>
      <c r="BQ501" s="23"/>
      <c r="BR501" s="23"/>
      <c r="BS501" s="23"/>
      <c r="BT501" s="23"/>
      <c r="BU501" s="23"/>
      <c r="BV501" s="23"/>
      <c r="BW501" s="23"/>
      <c r="BX501" s="23"/>
      <c r="BY501" s="23"/>
      <c r="BZ501" s="23"/>
      <c r="CA501" s="23"/>
      <c r="CB501" s="23"/>
      <c r="CC501" s="23"/>
      <c r="CD501" s="23"/>
      <c r="CE501" s="23"/>
      <c r="CF501" s="23"/>
      <c r="CG501" s="23"/>
      <c r="CH501" s="27"/>
      <c r="CI501" s="27"/>
      <c r="CJ501" s="28" t="str">
        <f>AI501</f>
        <v>770.7</v>
      </c>
      <c r="CK501" s="28"/>
      <c r="CL501" s="39"/>
    </row>
    <row r="502" spans="2:90" ht="17.45" customHeight="1" x14ac:dyDescent="0.25">
      <c r="B502" s="26"/>
      <c r="C502" s="23"/>
      <c r="D502" s="23"/>
      <c r="E502" s="23"/>
      <c r="F502" s="23"/>
      <c r="G502" s="23" t="s">
        <v>124</v>
      </c>
      <c r="H502" s="23"/>
      <c r="I502" s="23"/>
      <c r="J502" s="23"/>
      <c r="K502" s="23" t="s">
        <v>125</v>
      </c>
      <c r="L502" s="23"/>
      <c r="M502" s="23"/>
      <c r="N502" s="23" t="s">
        <v>121</v>
      </c>
      <c r="O502" s="23"/>
      <c r="P502" s="23" t="str">
        <f>TEXT([1]기계경비총괄표!H46,"#,##0.#######")</f>
        <v>957.8</v>
      </c>
      <c r="Q502" s="23"/>
      <c r="R502" s="23"/>
      <c r="S502" s="23"/>
      <c r="T502" s="23"/>
      <c r="U502" s="23"/>
      <c r="V502" s="23"/>
      <c r="W502" s="23"/>
      <c r="X502" s="23"/>
      <c r="Y502" s="23" t="s">
        <v>122</v>
      </c>
      <c r="Z502" s="23"/>
      <c r="AA502" s="23"/>
      <c r="AB502" s="23" t="str">
        <f>TEXT(BK497,"#,##0.#######")</f>
        <v>2.4</v>
      </c>
      <c r="AC502" s="23"/>
      <c r="AD502" s="23"/>
      <c r="AE502" s="23"/>
      <c r="AF502" s="23"/>
      <c r="AG502" s="23" t="s">
        <v>103</v>
      </c>
      <c r="AH502" s="23"/>
      <c r="AI502" s="23" t="str">
        <f>TEXT(TRUNC(P502/BK497,1),"#,##0.#")</f>
        <v>399.</v>
      </c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  <c r="BB502" s="23"/>
      <c r="BC502" s="23"/>
      <c r="BD502" s="23"/>
      <c r="BE502" s="23"/>
      <c r="BF502" s="23"/>
      <c r="BG502" s="23"/>
      <c r="BH502" s="23"/>
      <c r="BI502" s="23"/>
      <c r="BJ502" s="23"/>
      <c r="BK502" s="23"/>
      <c r="BL502" s="23"/>
      <c r="BM502" s="23"/>
      <c r="BN502" s="23"/>
      <c r="BO502" s="23"/>
      <c r="BP502" s="23"/>
      <c r="BQ502" s="23"/>
      <c r="BR502" s="23"/>
      <c r="BS502" s="23"/>
      <c r="BT502" s="23"/>
      <c r="BU502" s="23"/>
      <c r="BV502" s="23"/>
      <c r="BW502" s="23"/>
      <c r="BX502" s="23"/>
      <c r="BY502" s="23"/>
      <c r="BZ502" s="23"/>
      <c r="CA502" s="23"/>
      <c r="CB502" s="23"/>
      <c r="CC502" s="23"/>
      <c r="CD502" s="23"/>
      <c r="CE502" s="23"/>
      <c r="CF502" s="23"/>
      <c r="CG502" s="23"/>
      <c r="CH502" s="27"/>
      <c r="CI502" s="27"/>
      <c r="CJ502" s="28"/>
      <c r="CK502" s="28" t="str">
        <f>AI502</f>
        <v>399.</v>
      </c>
      <c r="CL502" s="39"/>
    </row>
    <row r="503" spans="2:90" ht="17.45" customHeight="1" x14ac:dyDescent="0.25">
      <c r="B503" s="26"/>
      <c r="C503" s="23"/>
      <c r="D503" s="23"/>
      <c r="E503" s="23"/>
      <c r="F503" s="23"/>
      <c r="G503" s="23" t="s">
        <v>126</v>
      </c>
      <c r="H503" s="23"/>
      <c r="I503" s="23"/>
      <c r="J503" s="23"/>
      <c r="K503" s="23" t="s">
        <v>127</v>
      </c>
      <c r="L503" s="23"/>
      <c r="M503" s="23"/>
      <c r="N503" s="23" t="s">
        <v>121</v>
      </c>
      <c r="O503" s="23"/>
      <c r="P503" s="23" t="str">
        <f>TEXT(AI500+AI501+AI502,"#,##0.#######")</f>
        <v>13,231.7</v>
      </c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23"/>
      <c r="BC503" s="23"/>
      <c r="BD503" s="23"/>
      <c r="BE503" s="23"/>
      <c r="BF503" s="23"/>
      <c r="BG503" s="23"/>
      <c r="BH503" s="23"/>
      <c r="BI503" s="23"/>
      <c r="BJ503" s="23"/>
      <c r="BK503" s="23"/>
      <c r="BL503" s="23"/>
      <c r="BM503" s="23"/>
      <c r="BN503" s="23"/>
      <c r="BO503" s="23"/>
      <c r="BP503" s="23"/>
      <c r="BQ503" s="23"/>
      <c r="BR503" s="23"/>
      <c r="BS503" s="23"/>
      <c r="BT503" s="23"/>
      <c r="BU503" s="23"/>
      <c r="BV503" s="23"/>
      <c r="BW503" s="23"/>
      <c r="BX503" s="23"/>
      <c r="BY503" s="23"/>
      <c r="BZ503" s="23"/>
      <c r="CA503" s="23"/>
      <c r="CB503" s="23"/>
      <c r="CC503" s="23"/>
      <c r="CD503" s="23"/>
      <c r="CE503" s="23"/>
      <c r="CF503" s="23"/>
      <c r="CG503" s="23"/>
      <c r="CH503" s="27">
        <f>CI500+CJ501+CK502</f>
        <v>13231.7</v>
      </c>
      <c r="CI503" s="27"/>
      <c r="CJ503" s="28"/>
      <c r="CK503" s="28"/>
      <c r="CL503" s="39"/>
    </row>
    <row r="504" spans="2:90" ht="17.45" customHeight="1" x14ac:dyDescent="0.25">
      <c r="B504" s="77"/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  <c r="AA504" s="78"/>
      <c r="AB504" s="78"/>
      <c r="AC504" s="78"/>
      <c r="AD504" s="78"/>
      <c r="AE504" s="78"/>
      <c r="AF504" s="78"/>
      <c r="AG504" s="78"/>
      <c r="AH504" s="78"/>
      <c r="AI504" s="78"/>
      <c r="AJ504" s="78"/>
      <c r="AK504" s="78"/>
      <c r="AL504" s="78"/>
      <c r="AM504" s="78"/>
      <c r="AN504" s="78"/>
      <c r="AO504" s="78"/>
      <c r="AP504" s="78"/>
      <c r="AQ504" s="78"/>
      <c r="AR504" s="78"/>
      <c r="AS504" s="78"/>
      <c r="AT504" s="78"/>
      <c r="AU504" s="78"/>
      <c r="AV504" s="78"/>
      <c r="AW504" s="78"/>
      <c r="AX504" s="78"/>
      <c r="AY504" s="78"/>
      <c r="AZ504" s="78"/>
      <c r="BA504" s="78"/>
      <c r="BB504" s="78"/>
      <c r="BC504" s="78"/>
      <c r="BD504" s="78"/>
      <c r="BE504" s="78"/>
      <c r="BF504" s="78"/>
      <c r="BG504" s="78"/>
      <c r="BH504" s="78"/>
      <c r="BI504" s="78"/>
      <c r="BJ504" s="78"/>
      <c r="BK504" s="78"/>
      <c r="BL504" s="78"/>
      <c r="BM504" s="78"/>
      <c r="BN504" s="78"/>
      <c r="BO504" s="78"/>
      <c r="BP504" s="78"/>
      <c r="BQ504" s="78"/>
      <c r="BR504" s="78"/>
      <c r="BS504" s="78"/>
      <c r="BT504" s="78"/>
      <c r="BU504" s="78"/>
      <c r="BV504" s="78"/>
      <c r="BW504" s="78"/>
      <c r="BX504" s="78"/>
      <c r="BY504" s="78"/>
      <c r="BZ504" s="78"/>
      <c r="CA504" s="78"/>
      <c r="CB504" s="78"/>
      <c r="CC504" s="78"/>
      <c r="CD504" s="78"/>
      <c r="CE504" s="78"/>
      <c r="CF504" s="78"/>
      <c r="CG504" s="78"/>
      <c r="CH504" s="91"/>
      <c r="CI504" s="91"/>
      <c r="CJ504" s="92"/>
      <c r="CK504" s="92"/>
      <c r="CL504" s="93"/>
    </row>
    <row r="505" spans="2:90" ht="16.5" customHeight="1" x14ac:dyDescent="0.25">
      <c r="B505" s="82" t="s">
        <v>309</v>
      </c>
      <c r="C505" s="83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  <c r="AA505" s="83"/>
      <c r="AB505" s="83"/>
      <c r="AC505" s="83"/>
      <c r="AD505" s="83"/>
      <c r="AE505" s="83"/>
      <c r="AF505" s="83"/>
      <c r="AG505" s="83"/>
      <c r="AH505" s="83"/>
      <c r="AI505" s="83"/>
      <c r="AJ505" s="83"/>
      <c r="AK505" s="83"/>
      <c r="AL505" s="83"/>
      <c r="AM505" s="83"/>
      <c r="AN505" s="83"/>
      <c r="AO505" s="83"/>
      <c r="AP505" s="83"/>
      <c r="AQ505" s="83"/>
      <c r="AR505" s="83"/>
      <c r="AS505" s="83"/>
      <c r="AT505" s="83"/>
      <c r="AU505" s="83"/>
      <c r="AV505" s="83"/>
      <c r="AW505" s="83"/>
      <c r="AX505" s="83"/>
      <c r="AY505" s="83"/>
      <c r="AZ505" s="83"/>
      <c r="BA505" s="83"/>
      <c r="BB505" s="83"/>
      <c r="BC505" s="83"/>
      <c r="BD505" s="83"/>
      <c r="BE505" s="83"/>
      <c r="BF505" s="83"/>
      <c r="BG505" s="83"/>
      <c r="BH505" s="83"/>
      <c r="BI505" s="83"/>
      <c r="BJ505" s="83"/>
      <c r="BK505" s="83"/>
      <c r="BL505" s="83"/>
      <c r="BM505" s="83"/>
      <c r="BN505" s="83"/>
      <c r="BO505" s="83"/>
      <c r="BP505" s="83"/>
      <c r="BQ505" s="83"/>
      <c r="BR505" s="83"/>
      <c r="BS505" s="83"/>
      <c r="BT505" s="83"/>
      <c r="BU505" s="83"/>
      <c r="BV505" s="83"/>
      <c r="BW505" s="83"/>
      <c r="BX505" s="83"/>
      <c r="BY505" s="83"/>
      <c r="BZ505" s="83"/>
      <c r="CA505" s="83"/>
      <c r="CB505" s="83"/>
      <c r="CC505" s="83"/>
      <c r="CD505" s="83"/>
      <c r="CE505" s="83"/>
      <c r="CF505" s="83"/>
      <c r="CG505" s="83"/>
      <c r="CH505" s="94">
        <f>TRUNC(CI505+CJ505+CK505,0)</f>
        <v>5803</v>
      </c>
      <c r="CI505" s="94">
        <f>TRUNC(CI514,0)</f>
        <v>5360</v>
      </c>
      <c r="CJ505" s="54">
        <f>TRUNC(CJ515,0)</f>
        <v>402</v>
      </c>
      <c r="CK505" s="54">
        <f>TRUNC(CK516,0)</f>
        <v>41</v>
      </c>
      <c r="CL505" s="102">
        <v>8220</v>
      </c>
    </row>
    <row r="506" spans="2:90" ht="16.5" customHeight="1" x14ac:dyDescent="0.25">
      <c r="B506" s="26"/>
      <c r="C506" s="23"/>
      <c r="D506" s="23" t="s">
        <v>94</v>
      </c>
      <c r="E506" s="23"/>
      <c r="F506" s="23"/>
      <c r="G506" s="23" t="s">
        <v>293</v>
      </c>
      <c r="H506" s="23"/>
      <c r="I506" s="23"/>
      <c r="J506" s="23"/>
      <c r="K506" s="23"/>
      <c r="L506" s="23"/>
      <c r="M506" s="23" t="s">
        <v>121</v>
      </c>
      <c r="N506" s="23"/>
      <c r="O506" s="23" t="s">
        <v>294</v>
      </c>
      <c r="P506" s="23"/>
      <c r="Q506" s="23"/>
      <c r="R506" s="23"/>
      <c r="S506" s="23"/>
      <c r="T506" s="23"/>
      <c r="U506" s="23"/>
      <c r="V506" s="23"/>
      <c r="W506" s="23"/>
      <c r="X506" s="23"/>
      <c r="Y506" s="23" t="s">
        <v>310</v>
      </c>
      <c r="Z506" s="23"/>
      <c r="AA506" s="23"/>
      <c r="AB506" s="23"/>
      <c r="AC506" s="23"/>
      <c r="AD506" s="23"/>
      <c r="AE506" s="23"/>
      <c r="AF506" s="23"/>
      <c r="AG506" s="23"/>
      <c r="AH506" s="29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  <c r="AZ506" s="23"/>
      <c r="BA506" s="23"/>
      <c r="BB506" s="23"/>
      <c r="BC506" s="23"/>
      <c r="BD506" s="23"/>
      <c r="BE506" s="23"/>
      <c r="BF506" s="23"/>
      <c r="BG506" s="23"/>
      <c r="BH506" s="23"/>
      <c r="BI506" s="23"/>
      <c r="BJ506" s="23"/>
      <c r="BK506" s="23"/>
      <c r="BL506" s="23"/>
      <c r="BM506" s="23"/>
      <c r="BN506" s="23"/>
      <c r="BO506" s="23"/>
      <c r="BP506" s="23"/>
      <c r="BQ506" s="23"/>
      <c r="BR506" s="23"/>
      <c r="BS506" s="23"/>
      <c r="BT506" s="23"/>
      <c r="BU506" s="23"/>
      <c r="BV506" s="23"/>
      <c r="BW506" s="23"/>
      <c r="BX506" s="23"/>
      <c r="BY506" s="23"/>
      <c r="BZ506" s="23"/>
      <c r="CA506" s="23"/>
      <c r="CB506" s="23"/>
      <c r="CC506" s="23"/>
      <c r="CD506" s="23"/>
      <c r="CE506" s="23"/>
      <c r="CF506" s="23"/>
      <c r="CG506" s="23"/>
      <c r="CH506" s="27"/>
      <c r="CI506" s="27"/>
      <c r="CJ506" s="28"/>
      <c r="CK506" s="28"/>
      <c r="CL506" s="39" t="s">
        <v>295</v>
      </c>
    </row>
    <row r="507" spans="2:90" ht="16.5" customHeight="1" x14ac:dyDescent="0.25">
      <c r="B507" s="26"/>
      <c r="C507" s="23"/>
      <c r="D507" s="23"/>
      <c r="E507" s="23"/>
      <c r="F507" s="23"/>
      <c r="G507" s="23" t="s">
        <v>112</v>
      </c>
      <c r="H507" s="23"/>
      <c r="I507" s="23" t="s">
        <v>103</v>
      </c>
      <c r="J507" s="23"/>
      <c r="K507" s="23" t="str">
        <f>TEXT(0.45,"#,##0.#######")</f>
        <v>0.45</v>
      </c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9"/>
      <c r="AC507" s="29"/>
      <c r="AD507" s="23"/>
      <c r="AE507" s="29"/>
      <c r="AF507" s="29"/>
      <c r="AG507" s="29"/>
      <c r="AH507" s="29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  <c r="AW507" s="23"/>
      <c r="AX507" s="23"/>
      <c r="AY507" s="23"/>
      <c r="AZ507" s="23"/>
      <c r="BA507" s="23"/>
      <c r="BB507" s="23"/>
      <c r="BC507" s="23"/>
      <c r="BD507" s="23"/>
      <c r="BE507" s="23"/>
      <c r="BF507" s="23"/>
      <c r="BG507" s="23"/>
      <c r="BH507" s="23"/>
      <c r="BI507" s="23"/>
      <c r="BJ507" s="23"/>
      <c r="BK507" s="23"/>
      <c r="BL507" s="23"/>
      <c r="BM507" s="23"/>
      <c r="BN507" s="23"/>
      <c r="BO507" s="23"/>
      <c r="BP507" s="23"/>
      <c r="BQ507" s="23"/>
      <c r="BR507" s="23"/>
      <c r="BS507" s="23"/>
      <c r="BT507" s="23"/>
      <c r="BU507" s="23"/>
      <c r="BV507" s="23"/>
      <c r="BW507" s="23"/>
      <c r="BX507" s="23"/>
      <c r="BY507" s="23"/>
      <c r="BZ507" s="23"/>
      <c r="CA507" s="23"/>
      <c r="CB507" s="23"/>
      <c r="CC507" s="23"/>
      <c r="CD507" s="23"/>
      <c r="CE507" s="23"/>
      <c r="CF507" s="23"/>
      <c r="CG507" s="23"/>
      <c r="CH507" s="27"/>
      <c r="CI507" s="27"/>
      <c r="CJ507" s="28"/>
      <c r="CK507" s="28"/>
      <c r="CL507" s="39"/>
    </row>
    <row r="508" spans="2:90" ht="16.5" customHeight="1" x14ac:dyDescent="0.25">
      <c r="B508" s="26"/>
      <c r="C508" s="23"/>
      <c r="D508" s="23"/>
      <c r="E508" s="23"/>
      <c r="F508" s="23"/>
      <c r="G508" s="23" t="s">
        <v>107</v>
      </c>
      <c r="H508" s="23"/>
      <c r="I508" s="23" t="s">
        <v>103</v>
      </c>
      <c r="J508" s="23"/>
      <c r="K508" s="23" t="str">
        <f>TEXT(0.8,"#,##0.#######")</f>
        <v>0.8</v>
      </c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  <c r="AW508" s="23"/>
      <c r="AX508" s="23"/>
      <c r="AY508" s="23"/>
      <c r="AZ508" s="23"/>
      <c r="BA508" s="23"/>
      <c r="BB508" s="23"/>
      <c r="BC508" s="23"/>
      <c r="BD508" s="23"/>
      <c r="BE508" s="23"/>
      <c r="BF508" s="23"/>
      <c r="BG508" s="23"/>
      <c r="BH508" s="23"/>
      <c r="BI508" s="23"/>
      <c r="BJ508" s="23"/>
      <c r="BK508" s="23"/>
      <c r="BL508" s="23"/>
      <c r="BM508" s="23"/>
      <c r="BN508" s="23"/>
      <c r="BO508" s="23"/>
      <c r="BP508" s="23"/>
      <c r="BQ508" s="23"/>
      <c r="BR508" s="23"/>
      <c r="BS508" s="23"/>
      <c r="BT508" s="23"/>
      <c r="BU508" s="23"/>
      <c r="BV508" s="23"/>
      <c r="BW508" s="23"/>
      <c r="BX508" s="23"/>
      <c r="BY508" s="23"/>
      <c r="BZ508" s="23"/>
      <c r="CA508" s="23"/>
      <c r="CB508" s="23"/>
      <c r="CC508" s="23"/>
      <c r="CD508" s="23"/>
      <c r="CE508" s="23"/>
      <c r="CF508" s="23"/>
      <c r="CG508" s="23"/>
      <c r="CH508" s="27"/>
      <c r="CI508" s="27"/>
      <c r="CJ508" s="28"/>
      <c r="CK508" s="28"/>
      <c r="CL508" s="39"/>
    </row>
    <row r="509" spans="2:90" ht="16.5" customHeight="1" x14ac:dyDescent="0.25">
      <c r="B509" s="26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  <c r="AW509" s="23"/>
      <c r="AX509" s="23"/>
      <c r="AY509" s="23"/>
      <c r="AZ509" s="23"/>
      <c r="BA509" s="23"/>
      <c r="BB509" s="23"/>
      <c r="BC509" s="23"/>
      <c r="BD509" s="23"/>
      <c r="BE509" s="23"/>
      <c r="BF509" s="23"/>
      <c r="BG509" s="23"/>
      <c r="BH509" s="23"/>
      <c r="BI509" s="23"/>
      <c r="BJ509" s="23"/>
      <c r="BK509" s="23"/>
      <c r="BL509" s="23"/>
      <c r="BM509" s="23"/>
      <c r="BN509" s="23"/>
      <c r="BO509" s="23"/>
      <c r="BP509" s="23"/>
      <c r="BQ509" s="23"/>
      <c r="BR509" s="23"/>
      <c r="BS509" s="23"/>
      <c r="BT509" s="23"/>
      <c r="BU509" s="23"/>
      <c r="BV509" s="23"/>
      <c r="BW509" s="23"/>
      <c r="BX509" s="23"/>
      <c r="BY509" s="23"/>
      <c r="BZ509" s="23"/>
      <c r="CA509" s="23"/>
      <c r="CB509" s="23"/>
      <c r="CC509" s="23"/>
      <c r="CD509" s="23"/>
      <c r="CE509" s="23"/>
      <c r="CF509" s="23"/>
      <c r="CG509" s="23"/>
      <c r="CH509" s="27"/>
      <c r="CI509" s="27"/>
      <c r="CJ509" s="28"/>
      <c r="CK509" s="28"/>
      <c r="CL509" s="39"/>
    </row>
    <row r="510" spans="2:90" ht="16.5" customHeight="1" x14ac:dyDescent="0.25">
      <c r="B510" s="26"/>
      <c r="C510" s="23"/>
      <c r="D510" s="23"/>
      <c r="E510" s="23"/>
      <c r="F510" s="23"/>
      <c r="G510" s="23"/>
      <c r="H510" s="23"/>
      <c r="I510" s="23"/>
      <c r="J510" s="23"/>
      <c r="K510" s="23"/>
      <c r="L510" s="29"/>
      <c r="M510" s="23" t="str">
        <f>TEXT(60,"#,##0.#######")</f>
        <v>60.</v>
      </c>
      <c r="N510" s="23"/>
      <c r="O510" s="23"/>
      <c r="P510" s="29"/>
      <c r="Q510" s="23" t="s">
        <v>102</v>
      </c>
      <c r="R510" s="29"/>
      <c r="S510" s="29"/>
      <c r="T510" s="23" t="s">
        <v>112</v>
      </c>
      <c r="U510" s="29"/>
      <c r="V510" s="23"/>
      <c r="W510" s="23" t="s">
        <v>102</v>
      </c>
      <c r="X510" s="23"/>
      <c r="Y510" s="23"/>
      <c r="Z510" s="23" t="s">
        <v>107</v>
      </c>
      <c r="AA510" s="23"/>
      <c r="AB510" s="29"/>
      <c r="AC510" s="23"/>
      <c r="AD510" s="23"/>
      <c r="AE510" s="23"/>
      <c r="AF510" s="23"/>
      <c r="AG510" s="23"/>
      <c r="AH510" s="23"/>
      <c r="AI510" s="29"/>
      <c r="AJ510" s="29"/>
      <c r="AK510" s="29"/>
      <c r="AL510" s="29"/>
      <c r="AM510" s="23" t="str">
        <f>TEXT(M510,"#,##0.#######")</f>
        <v>60.</v>
      </c>
      <c r="AN510" s="23"/>
      <c r="AO510" s="23"/>
      <c r="AP510" s="23"/>
      <c r="AQ510" s="23"/>
      <c r="AR510" s="23" t="s">
        <v>102</v>
      </c>
      <c r="AS510" s="23"/>
      <c r="AT510" s="23" t="str">
        <f>TEXT(K507,"#,##0.#######")</f>
        <v>0.45</v>
      </c>
      <c r="AU510" s="23"/>
      <c r="AV510" s="23"/>
      <c r="AW510" s="23"/>
      <c r="AX510" s="23"/>
      <c r="AY510" s="23" t="s">
        <v>102</v>
      </c>
      <c r="AZ510" s="23"/>
      <c r="BA510" s="23" t="str">
        <f>TEXT(K508,"#,##0.#######")</f>
        <v>0.8</v>
      </c>
      <c r="BB510" s="23"/>
      <c r="BC510" s="23"/>
      <c r="BD510" s="29"/>
      <c r="BE510" s="29"/>
      <c r="BF510" s="29"/>
      <c r="BG510" s="29"/>
      <c r="BH510" s="23"/>
      <c r="BI510" s="29"/>
      <c r="BJ510" s="23"/>
      <c r="BK510" s="23"/>
      <c r="BL510" s="23"/>
      <c r="BM510" s="23"/>
      <c r="BN510" s="23"/>
      <c r="BO510" s="23"/>
      <c r="BP510" s="23"/>
      <c r="BQ510" s="23"/>
      <c r="BR510" s="23"/>
      <c r="BS510" s="23"/>
      <c r="BT510" s="23"/>
      <c r="BU510" s="23"/>
      <c r="BV510" s="23"/>
      <c r="BW510" s="23"/>
      <c r="BX510" s="23"/>
      <c r="BY510" s="23"/>
      <c r="BZ510" s="23"/>
      <c r="CA510" s="23"/>
      <c r="CB510" s="23"/>
      <c r="CC510" s="23"/>
      <c r="CD510" s="23"/>
      <c r="CE510" s="23"/>
      <c r="CF510" s="23"/>
      <c r="CG510" s="23"/>
      <c r="CH510" s="27"/>
      <c r="CI510" s="27"/>
      <c r="CJ510" s="28"/>
      <c r="CK510" s="28"/>
      <c r="CL510" s="39"/>
    </row>
    <row r="511" spans="2:90" ht="16.5" customHeight="1" x14ac:dyDescent="0.25">
      <c r="B511" s="26"/>
      <c r="C511" s="23"/>
      <c r="D511" s="23"/>
      <c r="E511" s="23"/>
      <c r="F511" s="23"/>
      <c r="G511" s="23" t="s">
        <v>115</v>
      </c>
      <c r="H511" s="23"/>
      <c r="I511" s="23" t="s">
        <v>103</v>
      </c>
      <c r="J511" s="23"/>
      <c r="K511" s="23" t="s">
        <v>116</v>
      </c>
      <c r="L511" s="23"/>
      <c r="M511" s="23" t="s">
        <v>116</v>
      </c>
      <c r="N511" s="23"/>
      <c r="O511" s="23" t="s">
        <v>116</v>
      </c>
      <c r="P511" s="23"/>
      <c r="Q511" s="23" t="s">
        <v>116</v>
      </c>
      <c r="R511" s="23"/>
      <c r="S511" s="23" t="s">
        <v>116</v>
      </c>
      <c r="T511" s="23"/>
      <c r="U511" s="23" t="s">
        <v>116</v>
      </c>
      <c r="V511" s="23"/>
      <c r="W511" s="23" t="s">
        <v>116</v>
      </c>
      <c r="X511" s="23"/>
      <c r="Y511" s="23" t="s">
        <v>116</v>
      </c>
      <c r="Z511" s="23"/>
      <c r="AA511" s="23" t="s">
        <v>116</v>
      </c>
      <c r="AB511" s="23"/>
      <c r="AC511" s="23" t="s">
        <v>116</v>
      </c>
      <c r="AD511" s="23"/>
      <c r="AE511" s="23"/>
      <c r="AF511" s="23" t="s">
        <v>103</v>
      </c>
      <c r="AG511" s="23"/>
      <c r="AH511" s="23" t="s">
        <v>116</v>
      </c>
      <c r="AI511" s="23"/>
      <c r="AJ511" s="23" t="s">
        <v>116</v>
      </c>
      <c r="AK511" s="23"/>
      <c r="AL511" s="23" t="s">
        <v>116</v>
      </c>
      <c r="AM511" s="23"/>
      <c r="AN511" s="23" t="s">
        <v>116</v>
      </c>
      <c r="AO511" s="23"/>
      <c r="AP511" s="23" t="s">
        <v>116</v>
      </c>
      <c r="AQ511" s="23"/>
      <c r="AR511" s="23" t="s">
        <v>116</v>
      </c>
      <c r="AS511" s="23"/>
      <c r="AT511" s="23" t="s">
        <v>116</v>
      </c>
      <c r="AU511" s="23"/>
      <c r="AV511" s="23" t="s">
        <v>116</v>
      </c>
      <c r="AW511" s="23"/>
      <c r="AX511" s="23" t="s">
        <v>116</v>
      </c>
      <c r="AY511" s="23"/>
      <c r="AZ511" s="23" t="s">
        <v>116</v>
      </c>
      <c r="BA511" s="23"/>
      <c r="BB511" s="23" t="s">
        <v>116</v>
      </c>
      <c r="BC511" s="23"/>
      <c r="BD511" s="23" t="s">
        <v>116</v>
      </c>
      <c r="BE511" s="23"/>
      <c r="BF511" s="23" t="s">
        <v>116</v>
      </c>
      <c r="BG511" s="23"/>
      <c r="BH511" s="23"/>
      <c r="BI511" s="23" t="s">
        <v>103</v>
      </c>
      <c r="BJ511" s="23"/>
      <c r="BK511" s="23" t="str">
        <f>TEXT(ROUND((60*K507*K508)/(AT512),2),"#,##0.#######")</f>
        <v>5.4</v>
      </c>
      <c r="BL511" s="23"/>
      <c r="BM511" s="23"/>
      <c r="BN511" s="23"/>
      <c r="BO511" s="23"/>
      <c r="BP511" s="23"/>
      <c r="BQ511" s="23"/>
      <c r="BR511" s="23" t="s">
        <v>117</v>
      </c>
      <c r="BS511" s="23"/>
      <c r="BT511" s="23" t="s">
        <v>118</v>
      </c>
      <c r="BU511" s="23" t="s">
        <v>119</v>
      </c>
      <c r="BV511" s="23"/>
      <c r="BW511" s="23"/>
      <c r="BX511" s="23"/>
      <c r="BY511" s="23"/>
      <c r="BZ511" s="23"/>
      <c r="CA511" s="23"/>
      <c r="CB511" s="23"/>
      <c r="CC511" s="23"/>
      <c r="CD511" s="23"/>
      <c r="CE511" s="23"/>
      <c r="CF511" s="23"/>
      <c r="CG511" s="23"/>
      <c r="CH511" s="27"/>
      <c r="CI511" s="27"/>
      <c r="CJ511" s="28"/>
      <c r="CK511" s="28"/>
      <c r="CL511" s="39"/>
    </row>
    <row r="512" spans="2:90" ht="16.5" customHeight="1" x14ac:dyDescent="0.25">
      <c r="B512" s="26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 t="str">
        <f>TEXT(4,"#,##0.#######")</f>
        <v>4.</v>
      </c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 t="str">
        <f>TEXT(R512,"#,##0.#######")</f>
        <v>4.</v>
      </c>
      <c r="AU512" s="23"/>
      <c r="AV512" s="23"/>
      <c r="AW512" s="23"/>
      <c r="AX512" s="23"/>
      <c r="AY512" s="23"/>
      <c r="AZ512" s="23"/>
      <c r="BA512" s="23"/>
      <c r="BB512" s="23"/>
      <c r="BC512" s="23"/>
      <c r="BD512" s="23"/>
      <c r="BE512" s="23"/>
      <c r="BF512" s="23"/>
      <c r="BG512" s="23"/>
      <c r="BH512" s="23"/>
      <c r="BI512" s="23"/>
      <c r="BJ512" s="23"/>
      <c r="BK512" s="23"/>
      <c r="BL512" s="23"/>
      <c r="BM512" s="23"/>
      <c r="BN512" s="23"/>
      <c r="BO512" s="23"/>
      <c r="BP512" s="23"/>
      <c r="BQ512" s="23"/>
      <c r="BR512" s="23"/>
      <c r="BS512" s="23"/>
      <c r="BT512" s="23"/>
      <c r="BU512" s="23"/>
      <c r="BV512" s="23"/>
      <c r="BW512" s="23"/>
      <c r="BX512" s="23"/>
      <c r="BY512" s="23"/>
      <c r="BZ512" s="23"/>
      <c r="CA512" s="23"/>
      <c r="CB512" s="23"/>
      <c r="CC512" s="23"/>
      <c r="CD512" s="23"/>
      <c r="CE512" s="23"/>
      <c r="CF512" s="23"/>
      <c r="CG512" s="23"/>
      <c r="CH512" s="27"/>
      <c r="CI512" s="27"/>
      <c r="CJ512" s="28"/>
      <c r="CK512" s="28"/>
      <c r="CL512" s="39"/>
    </row>
    <row r="513" spans="2:90" ht="16.5" customHeight="1" x14ac:dyDescent="0.25">
      <c r="B513" s="26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  <c r="AZ513" s="23"/>
      <c r="BA513" s="23"/>
      <c r="BB513" s="23"/>
      <c r="BC513" s="23"/>
      <c r="BD513" s="23"/>
      <c r="BE513" s="23"/>
      <c r="BF513" s="23"/>
      <c r="BG513" s="23"/>
      <c r="BH513" s="23"/>
      <c r="BI513" s="23"/>
      <c r="BJ513" s="23"/>
      <c r="BK513" s="23"/>
      <c r="BL513" s="23"/>
      <c r="BM513" s="23"/>
      <c r="BN513" s="23"/>
      <c r="BO513" s="23"/>
      <c r="BP513" s="23"/>
      <c r="BQ513" s="23"/>
      <c r="BR513" s="23"/>
      <c r="BS513" s="23"/>
      <c r="BT513" s="23"/>
      <c r="BU513" s="23"/>
      <c r="BV513" s="23"/>
      <c r="BW513" s="23"/>
      <c r="BX513" s="23"/>
      <c r="BY513" s="23"/>
      <c r="BZ513" s="23"/>
      <c r="CA513" s="23"/>
      <c r="CB513" s="23"/>
      <c r="CC513" s="23"/>
      <c r="CD513" s="23"/>
      <c r="CE513" s="23"/>
      <c r="CF513" s="23"/>
      <c r="CG513" s="23"/>
      <c r="CH513" s="27"/>
      <c r="CI513" s="27"/>
      <c r="CJ513" s="28"/>
      <c r="CK513" s="28"/>
      <c r="CL513" s="39"/>
    </row>
    <row r="514" spans="2:90" ht="16.5" customHeight="1" x14ac:dyDescent="0.25">
      <c r="B514" s="26"/>
      <c r="C514" s="23"/>
      <c r="D514" s="23"/>
      <c r="E514" s="23"/>
      <c r="F514" s="23"/>
      <c r="G514" s="23" t="s">
        <v>120</v>
      </c>
      <c r="H514" s="23"/>
      <c r="I514" s="23"/>
      <c r="J514" s="23"/>
      <c r="K514" s="23"/>
      <c r="L514" s="23"/>
      <c r="M514" s="23"/>
      <c r="N514" s="23" t="s">
        <v>121</v>
      </c>
      <c r="O514" s="23"/>
      <c r="P514" s="23" t="str">
        <f>TEXT([1]기계경비총괄표!G64,"#,##0.#######")</f>
        <v>28,949.</v>
      </c>
      <c r="Q514" s="23"/>
      <c r="R514" s="23"/>
      <c r="S514" s="23"/>
      <c r="T514" s="23"/>
      <c r="U514" s="23"/>
      <c r="V514" s="23"/>
      <c r="W514" s="23"/>
      <c r="X514" s="23"/>
      <c r="Y514" s="23" t="s">
        <v>122</v>
      </c>
      <c r="Z514" s="23"/>
      <c r="AA514" s="23"/>
      <c r="AB514" s="23" t="str">
        <f>TEXT(BK511,"#,##0.#######")</f>
        <v>5.4</v>
      </c>
      <c r="AC514" s="23"/>
      <c r="AD514" s="23"/>
      <c r="AE514" s="23"/>
      <c r="AF514" s="23"/>
      <c r="AG514" s="23" t="s">
        <v>103</v>
      </c>
      <c r="AH514" s="23"/>
      <c r="AI514" s="23" t="str">
        <f>TEXT(TRUNC(P514/BK511,1),"#,##0.#")</f>
        <v>5,360.9</v>
      </c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  <c r="BB514" s="23"/>
      <c r="BC514" s="23"/>
      <c r="BD514" s="23"/>
      <c r="BE514" s="23"/>
      <c r="BF514" s="23"/>
      <c r="BG514" s="23"/>
      <c r="BH514" s="23"/>
      <c r="BI514" s="23"/>
      <c r="BJ514" s="23"/>
      <c r="BK514" s="23"/>
      <c r="BL514" s="23"/>
      <c r="BM514" s="23"/>
      <c r="BN514" s="23"/>
      <c r="BO514" s="23"/>
      <c r="BP514" s="23"/>
      <c r="BQ514" s="23"/>
      <c r="BR514" s="23"/>
      <c r="BS514" s="23"/>
      <c r="BT514" s="23"/>
      <c r="BU514" s="23"/>
      <c r="BV514" s="23"/>
      <c r="BW514" s="23"/>
      <c r="BX514" s="23"/>
      <c r="BY514" s="23"/>
      <c r="BZ514" s="23"/>
      <c r="CA514" s="23"/>
      <c r="CB514" s="23"/>
      <c r="CC514" s="23"/>
      <c r="CD514" s="23"/>
      <c r="CE514" s="23"/>
      <c r="CF514" s="23"/>
      <c r="CG514" s="23"/>
      <c r="CH514" s="27"/>
      <c r="CI514" s="27" t="str">
        <f>AI514</f>
        <v>5,360.9</v>
      </c>
      <c r="CJ514" s="28"/>
      <c r="CK514" s="28"/>
      <c r="CL514" s="39"/>
    </row>
    <row r="515" spans="2:90" ht="16.5" customHeight="1" x14ac:dyDescent="0.25">
      <c r="B515" s="26"/>
      <c r="C515" s="23"/>
      <c r="D515" s="23"/>
      <c r="E515" s="23"/>
      <c r="F515" s="23"/>
      <c r="G515" s="23" t="s">
        <v>123</v>
      </c>
      <c r="H515" s="23"/>
      <c r="I515" s="23"/>
      <c r="J515" s="23"/>
      <c r="K515" s="23"/>
      <c r="L515" s="23"/>
      <c r="M515" s="23"/>
      <c r="N515" s="23" t="s">
        <v>121</v>
      </c>
      <c r="O515" s="23"/>
      <c r="P515" s="23" t="str">
        <f>TEXT([1]기계경비총괄표!F64,"#,##0.#######")</f>
        <v>2,176.</v>
      </c>
      <c r="Q515" s="23"/>
      <c r="R515" s="23"/>
      <c r="S515" s="23"/>
      <c r="T515" s="23"/>
      <c r="U515" s="23"/>
      <c r="V515" s="23"/>
      <c r="W515" s="23"/>
      <c r="X515" s="23"/>
      <c r="Y515" s="23" t="s">
        <v>122</v>
      </c>
      <c r="Z515" s="23"/>
      <c r="AA515" s="23"/>
      <c r="AB515" s="23" t="str">
        <f>TEXT(BK511,"#,##0.#######")</f>
        <v>5.4</v>
      </c>
      <c r="AC515" s="23"/>
      <c r="AD515" s="23"/>
      <c r="AE515" s="23"/>
      <c r="AF515" s="23"/>
      <c r="AG515" s="23" t="s">
        <v>103</v>
      </c>
      <c r="AH515" s="23"/>
      <c r="AI515" s="23" t="str">
        <f>TEXT(TRUNC(P515/BK511,1),"#,##0.#")</f>
        <v>402.9</v>
      </c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  <c r="BB515" s="23"/>
      <c r="BC515" s="23"/>
      <c r="BD515" s="23"/>
      <c r="BE515" s="23"/>
      <c r="BF515" s="23"/>
      <c r="BG515" s="23"/>
      <c r="BH515" s="23"/>
      <c r="BI515" s="23"/>
      <c r="BJ515" s="23"/>
      <c r="BK515" s="23"/>
      <c r="BL515" s="23"/>
      <c r="BM515" s="23"/>
      <c r="BN515" s="23"/>
      <c r="BO515" s="23"/>
      <c r="BP515" s="23"/>
      <c r="BQ515" s="23"/>
      <c r="BR515" s="23"/>
      <c r="BS515" s="23"/>
      <c r="BT515" s="23"/>
      <c r="BU515" s="23"/>
      <c r="BV515" s="23"/>
      <c r="BW515" s="23"/>
      <c r="BX515" s="23"/>
      <c r="BY515" s="23"/>
      <c r="BZ515" s="23"/>
      <c r="CA515" s="23"/>
      <c r="CB515" s="23"/>
      <c r="CC515" s="23"/>
      <c r="CD515" s="23"/>
      <c r="CE515" s="23"/>
      <c r="CF515" s="23"/>
      <c r="CG515" s="23"/>
      <c r="CH515" s="27"/>
      <c r="CI515" s="27"/>
      <c r="CJ515" s="28" t="str">
        <f>AI515</f>
        <v>402.9</v>
      </c>
      <c r="CK515" s="28"/>
      <c r="CL515" s="39"/>
    </row>
    <row r="516" spans="2:90" ht="16.5" customHeight="1" x14ac:dyDescent="0.25">
      <c r="B516" s="26"/>
      <c r="C516" s="23"/>
      <c r="D516" s="23"/>
      <c r="E516" s="23"/>
      <c r="F516" s="23"/>
      <c r="G516" s="23" t="s">
        <v>124</v>
      </c>
      <c r="H516" s="23"/>
      <c r="I516" s="23"/>
      <c r="J516" s="23"/>
      <c r="K516" s="23" t="s">
        <v>125</v>
      </c>
      <c r="L516" s="23"/>
      <c r="M516" s="23"/>
      <c r="N516" s="23" t="s">
        <v>121</v>
      </c>
      <c r="O516" s="23"/>
      <c r="P516" s="23" t="str">
        <f>TEXT([1]기계경비총괄표!H64,"#,##0.#######")</f>
        <v>225.</v>
      </c>
      <c r="Q516" s="23"/>
      <c r="R516" s="23"/>
      <c r="S516" s="23"/>
      <c r="T516" s="23"/>
      <c r="U516" s="23"/>
      <c r="V516" s="23"/>
      <c r="W516" s="23"/>
      <c r="X516" s="23"/>
      <c r="Y516" s="23" t="s">
        <v>122</v>
      </c>
      <c r="Z516" s="23"/>
      <c r="AA516" s="23"/>
      <c r="AB516" s="23" t="str">
        <f>TEXT(BK511,"#,##0.#######")</f>
        <v>5.4</v>
      </c>
      <c r="AC516" s="23"/>
      <c r="AD516" s="23"/>
      <c r="AE516" s="23"/>
      <c r="AF516" s="23"/>
      <c r="AG516" s="23" t="s">
        <v>103</v>
      </c>
      <c r="AH516" s="23"/>
      <c r="AI516" s="23" t="str">
        <f>TEXT(TRUNC(P516/BK511,1),"#,##0.#")</f>
        <v>41.6</v>
      </c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23"/>
      <c r="BA516" s="23"/>
      <c r="BB516" s="23"/>
      <c r="BC516" s="23"/>
      <c r="BD516" s="23"/>
      <c r="BE516" s="23"/>
      <c r="BF516" s="23"/>
      <c r="BG516" s="23"/>
      <c r="BH516" s="23"/>
      <c r="BI516" s="23"/>
      <c r="BJ516" s="23"/>
      <c r="BK516" s="23"/>
      <c r="BL516" s="23"/>
      <c r="BM516" s="23"/>
      <c r="BN516" s="23"/>
      <c r="BO516" s="23"/>
      <c r="BP516" s="23"/>
      <c r="BQ516" s="23"/>
      <c r="BR516" s="23"/>
      <c r="BS516" s="23"/>
      <c r="BT516" s="23"/>
      <c r="BU516" s="23"/>
      <c r="BV516" s="23"/>
      <c r="BW516" s="23"/>
      <c r="BX516" s="23"/>
      <c r="BY516" s="23"/>
      <c r="BZ516" s="23"/>
      <c r="CA516" s="23"/>
      <c r="CB516" s="23"/>
      <c r="CC516" s="23"/>
      <c r="CD516" s="23"/>
      <c r="CE516" s="23"/>
      <c r="CF516" s="23"/>
      <c r="CG516" s="23"/>
      <c r="CH516" s="27"/>
      <c r="CI516" s="27"/>
      <c r="CJ516" s="28"/>
      <c r="CK516" s="28" t="str">
        <f>AI516</f>
        <v>41.6</v>
      </c>
      <c r="CL516" s="39"/>
    </row>
    <row r="517" spans="2:90" ht="16.5" customHeight="1" x14ac:dyDescent="0.25">
      <c r="B517" s="26"/>
      <c r="C517" s="23"/>
      <c r="D517" s="23"/>
      <c r="E517" s="23"/>
      <c r="F517" s="23"/>
      <c r="G517" s="23" t="s">
        <v>126</v>
      </c>
      <c r="H517" s="23"/>
      <c r="I517" s="23"/>
      <c r="J517" s="23"/>
      <c r="K517" s="23" t="s">
        <v>127</v>
      </c>
      <c r="L517" s="23"/>
      <c r="M517" s="23"/>
      <c r="N517" s="23" t="s">
        <v>121</v>
      </c>
      <c r="O517" s="23"/>
      <c r="P517" s="23" t="str">
        <f>TEXT(AI514+AI515+AI516,"#,##0.#######")</f>
        <v>5,805.4</v>
      </c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23"/>
      <c r="BA517" s="23"/>
      <c r="BB517" s="23"/>
      <c r="BC517" s="23"/>
      <c r="BD517" s="23"/>
      <c r="BE517" s="23"/>
      <c r="BF517" s="23"/>
      <c r="BG517" s="23"/>
      <c r="BH517" s="23"/>
      <c r="BI517" s="23"/>
      <c r="BJ517" s="23"/>
      <c r="BK517" s="23"/>
      <c r="BL517" s="23"/>
      <c r="BM517" s="23"/>
      <c r="BN517" s="23"/>
      <c r="BO517" s="23"/>
      <c r="BP517" s="23"/>
      <c r="BQ517" s="23"/>
      <c r="BR517" s="23"/>
      <c r="BS517" s="23"/>
      <c r="BT517" s="23"/>
      <c r="BU517" s="23"/>
      <c r="BV517" s="23"/>
      <c r="BW517" s="23"/>
      <c r="BX517" s="23"/>
      <c r="BY517" s="23"/>
      <c r="BZ517" s="23"/>
      <c r="CA517" s="23"/>
      <c r="CB517" s="23"/>
      <c r="CC517" s="23"/>
      <c r="CD517" s="23"/>
      <c r="CE517" s="23"/>
      <c r="CF517" s="23"/>
      <c r="CG517" s="23"/>
      <c r="CH517" s="27">
        <f>CI514+CJ515+CK516</f>
        <v>5805.4</v>
      </c>
      <c r="CI517" s="27"/>
      <c r="CJ517" s="28"/>
      <c r="CK517" s="28"/>
      <c r="CL517" s="39"/>
    </row>
    <row r="518" spans="2:90" ht="16.5" customHeight="1" x14ac:dyDescent="0.25">
      <c r="B518" s="22"/>
      <c r="C518" s="23"/>
      <c r="D518" s="29"/>
      <c r="E518" s="29"/>
      <c r="F518" s="29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9"/>
      <c r="AZ518" s="29"/>
      <c r="BA518" s="29"/>
      <c r="BB518" s="29"/>
      <c r="BC518" s="23"/>
      <c r="BD518" s="23"/>
      <c r="BE518" s="23"/>
      <c r="BF518" s="23"/>
      <c r="BG518" s="23"/>
      <c r="BH518" s="23"/>
      <c r="BI518" s="23"/>
      <c r="BJ518" s="23"/>
      <c r="BK518" s="23"/>
      <c r="BL518" s="23"/>
      <c r="BM518" s="23"/>
      <c r="BN518" s="23"/>
      <c r="BO518" s="23"/>
      <c r="BP518" s="23"/>
      <c r="BQ518" s="23"/>
      <c r="BR518" s="23"/>
      <c r="BS518" s="23"/>
      <c r="BT518" s="23"/>
      <c r="BU518" s="23"/>
      <c r="BV518" s="23"/>
      <c r="BW518" s="23"/>
      <c r="BX518" s="23"/>
      <c r="BY518" s="23"/>
      <c r="BZ518" s="23"/>
      <c r="CA518" s="23"/>
      <c r="CB518" s="23"/>
      <c r="CC518" s="23"/>
      <c r="CD518" s="23"/>
      <c r="CE518" s="23"/>
      <c r="CF518" s="23"/>
      <c r="CG518" s="23"/>
      <c r="CH518" s="27"/>
      <c r="CI518" s="27"/>
      <c r="CJ518" s="28"/>
      <c r="CK518" s="28"/>
      <c r="CL518" s="39"/>
    </row>
    <row r="519" spans="2:90" ht="16.5" customHeight="1" x14ac:dyDescent="0.25">
      <c r="B519" s="46" t="s">
        <v>311</v>
      </c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  <c r="AA519" s="47"/>
      <c r="AB519" s="47"/>
      <c r="AC519" s="47"/>
      <c r="AD519" s="47"/>
      <c r="AE519" s="47"/>
      <c r="AF519" s="47"/>
      <c r="AG519" s="47"/>
      <c r="AH519" s="47"/>
      <c r="AI519" s="47"/>
      <c r="AJ519" s="47"/>
      <c r="AK519" s="47"/>
      <c r="AL519" s="47"/>
      <c r="AM519" s="47"/>
      <c r="AN519" s="47"/>
      <c r="AO519" s="47"/>
      <c r="AP519" s="47"/>
      <c r="AQ519" s="47"/>
      <c r="AR519" s="47"/>
      <c r="AS519" s="47"/>
      <c r="AT519" s="47"/>
      <c r="AU519" s="47"/>
      <c r="AV519" s="47"/>
      <c r="AW519" s="47"/>
      <c r="AX519" s="47"/>
      <c r="AY519" s="47"/>
      <c r="AZ519" s="47"/>
      <c r="BA519" s="47"/>
      <c r="BB519" s="47"/>
      <c r="BC519" s="47"/>
      <c r="BD519" s="47"/>
      <c r="BE519" s="47"/>
      <c r="BF519" s="47"/>
      <c r="BG519" s="47"/>
      <c r="BH519" s="47"/>
      <c r="BI519" s="47"/>
      <c r="BJ519" s="47"/>
      <c r="BK519" s="47"/>
      <c r="BL519" s="47"/>
      <c r="BM519" s="47"/>
      <c r="BN519" s="47"/>
      <c r="BO519" s="47"/>
      <c r="BP519" s="47"/>
      <c r="BQ519" s="47"/>
      <c r="BR519" s="47"/>
      <c r="BS519" s="47"/>
      <c r="BT519" s="47"/>
      <c r="BU519" s="47"/>
      <c r="BV519" s="47"/>
      <c r="BW519" s="47"/>
      <c r="BX519" s="47"/>
      <c r="BY519" s="47"/>
      <c r="BZ519" s="47"/>
      <c r="CA519" s="47"/>
      <c r="CB519" s="47"/>
      <c r="CC519" s="47"/>
      <c r="CD519" s="47"/>
      <c r="CE519" s="47"/>
      <c r="CF519" s="47"/>
      <c r="CG519" s="47"/>
      <c r="CH519" s="48">
        <f>TRUNC(CI519+CJ519+CK519,0)</f>
        <v>256597</v>
      </c>
      <c r="CI519" s="48">
        <f>TRUNC(CI527+CI528,0)</f>
        <v>181930</v>
      </c>
      <c r="CJ519" s="49">
        <f>TRUNC(CJ522+CJ523+CJ524,0)</f>
        <v>74667</v>
      </c>
      <c r="CK519" s="49"/>
      <c r="CL519" s="97">
        <v>612</v>
      </c>
    </row>
    <row r="520" spans="2:90" ht="16.5" customHeight="1" x14ac:dyDescent="0.25">
      <c r="B520" s="31"/>
      <c r="C520" s="29"/>
      <c r="D520" s="23" t="s">
        <v>312</v>
      </c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  <c r="AQ520" s="29"/>
      <c r="AR520" s="29"/>
      <c r="AS520" s="29"/>
      <c r="AT520" s="29"/>
      <c r="AU520" s="29"/>
      <c r="AV520" s="29"/>
      <c r="AW520" s="29"/>
      <c r="AX520" s="29"/>
      <c r="AY520" s="29"/>
      <c r="AZ520" s="29"/>
      <c r="BA520" s="29"/>
      <c r="BB520" s="29"/>
      <c r="BC520" s="29"/>
      <c r="BD520" s="29"/>
      <c r="BE520" s="29"/>
      <c r="BF520" s="29"/>
      <c r="BG520" s="29"/>
      <c r="BH520" s="29"/>
      <c r="BI520" s="29"/>
      <c r="BJ520" s="29"/>
      <c r="BK520" s="29"/>
      <c r="BL520" s="29"/>
      <c r="BM520" s="29"/>
      <c r="BN520" s="29"/>
      <c r="BO520" s="29"/>
      <c r="BP520" s="29"/>
      <c r="BQ520" s="29"/>
      <c r="BR520" s="29"/>
      <c r="BS520" s="29"/>
      <c r="BT520" s="29"/>
      <c r="BU520" s="29"/>
      <c r="BV520" s="29"/>
      <c r="BW520" s="29"/>
      <c r="BX520" s="29"/>
      <c r="BY520" s="29"/>
      <c r="BZ520" s="29"/>
      <c r="CA520" s="29"/>
      <c r="CB520" s="29"/>
      <c r="CC520" s="29"/>
      <c r="CD520" s="29"/>
      <c r="CE520" s="29"/>
      <c r="CF520" s="29"/>
      <c r="CG520" s="29"/>
      <c r="CH520" s="27"/>
      <c r="CI520" s="27"/>
      <c r="CJ520" s="27"/>
      <c r="CK520" s="28"/>
      <c r="CL520" s="39" t="s">
        <v>313</v>
      </c>
    </row>
    <row r="521" spans="2:90" ht="16.5" customHeight="1" x14ac:dyDescent="0.25">
      <c r="B521" s="31"/>
      <c r="C521" s="30"/>
      <c r="D521" s="23" t="s">
        <v>94</v>
      </c>
      <c r="E521" s="23"/>
      <c r="F521" s="23"/>
      <c r="G521" s="23" t="s">
        <v>123</v>
      </c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  <c r="BB521" s="23"/>
      <c r="BC521" s="23"/>
      <c r="BD521" s="23"/>
      <c r="BE521" s="23"/>
      <c r="BF521" s="23"/>
      <c r="BG521" s="23"/>
      <c r="BH521" s="23"/>
      <c r="BI521" s="23"/>
      <c r="BJ521" s="23"/>
      <c r="BK521" s="23"/>
      <c r="BL521" s="23"/>
      <c r="BM521" s="23"/>
      <c r="BN521" s="23"/>
      <c r="BO521" s="23"/>
      <c r="BP521" s="23"/>
      <c r="BQ521" s="23"/>
      <c r="BR521" s="23"/>
      <c r="BS521" s="23"/>
      <c r="BT521" s="23"/>
      <c r="BU521" s="23"/>
      <c r="BV521" s="23"/>
      <c r="BW521" s="23"/>
      <c r="BX521" s="23"/>
      <c r="BY521" s="23"/>
      <c r="BZ521" s="23"/>
      <c r="CA521" s="23"/>
      <c r="CB521" s="23"/>
      <c r="CC521" s="23"/>
      <c r="CD521" s="23"/>
      <c r="CE521" s="23"/>
      <c r="CF521" s="23"/>
      <c r="CG521" s="23"/>
      <c r="CH521" s="27"/>
      <c r="CI521" s="27"/>
      <c r="CJ521" s="27"/>
      <c r="CK521" s="28"/>
      <c r="CL521" s="39"/>
    </row>
    <row r="522" spans="2:90" ht="16.5" customHeight="1" x14ac:dyDescent="0.25">
      <c r="B522" s="31"/>
      <c r="C522" s="30"/>
      <c r="D522" s="23"/>
      <c r="E522" s="23"/>
      <c r="F522" s="23"/>
      <c r="G522" s="23" t="s">
        <v>314</v>
      </c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9"/>
      <c r="U522" s="23" t="s">
        <v>315</v>
      </c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 t="str">
        <f>TEXT([1]자재단가!M66,"#,##0.#######")</f>
        <v>4,700.</v>
      </c>
      <c r="AH522" s="23"/>
      <c r="AI522" s="23"/>
      <c r="AJ522" s="23"/>
      <c r="AK522" s="23"/>
      <c r="AL522" s="23"/>
      <c r="AM522" s="23" t="s">
        <v>102</v>
      </c>
      <c r="AN522" s="23"/>
      <c r="AO522" s="23"/>
      <c r="AP522" s="23" t="str">
        <f>TEXT(346,"#,##0.#######")</f>
        <v>346.</v>
      </c>
      <c r="AQ522" s="23"/>
      <c r="AR522" s="23"/>
      <c r="AS522" s="23" t="s">
        <v>270</v>
      </c>
      <c r="AT522" s="23"/>
      <c r="AU522" s="23"/>
      <c r="AV522" s="23" t="s">
        <v>122</v>
      </c>
      <c r="AW522" s="23"/>
      <c r="AX522" s="23" t="str">
        <f>TEXT(40,"#,##0.#######")</f>
        <v>40.</v>
      </c>
      <c r="AY522" s="29"/>
      <c r="AZ522" s="23"/>
      <c r="BA522" s="23"/>
      <c r="BB522" s="29" t="s">
        <v>270</v>
      </c>
      <c r="BC522" s="29"/>
      <c r="BD522" s="29"/>
      <c r="BE522" s="29"/>
      <c r="BF522" s="29"/>
      <c r="BG522" s="29"/>
      <c r="BH522" s="29"/>
      <c r="BI522" s="23" t="s">
        <v>103</v>
      </c>
      <c r="BJ522" s="23"/>
      <c r="BK522" s="23" t="str">
        <f>TEXT(TRUNC(AG522*AP522/AX522,1),"#,##0.#")</f>
        <v>40,655.</v>
      </c>
      <c r="BL522" s="23"/>
      <c r="BM522" s="23"/>
      <c r="BN522" s="23"/>
      <c r="BO522" s="23"/>
      <c r="BP522" s="23"/>
      <c r="BQ522" s="23"/>
      <c r="BR522" s="29"/>
      <c r="BS522" s="29"/>
      <c r="BT522" s="29"/>
      <c r="BU522" s="29"/>
      <c r="BV522" s="23"/>
      <c r="BW522" s="23"/>
      <c r="BX522" s="23"/>
      <c r="BY522" s="23"/>
      <c r="BZ522" s="23"/>
      <c r="CA522" s="23"/>
      <c r="CB522" s="23"/>
      <c r="CC522" s="23"/>
      <c r="CD522" s="23"/>
      <c r="CE522" s="23"/>
      <c r="CF522" s="23"/>
      <c r="CG522" s="23"/>
      <c r="CH522" s="27"/>
      <c r="CI522" s="27"/>
      <c r="CJ522" s="27" t="str">
        <f>BK522</f>
        <v>40,655.</v>
      </c>
      <c r="CK522" s="28"/>
      <c r="CL522" s="39"/>
    </row>
    <row r="523" spans="2:90" ht="16.5" customHeight="1" x14ac:dyDescent="0.25">
      <c r="B523" s="31"/>
      <c r="C523" s="30"/>
      <c r="D523" s="23"/>
      <c r="E523" s="23"/>
      <c r="F523" s="23"/>
      <c r="G523" s="23" t="s">
        <v>316</v>
      </c>
      <c r="H523" s="23"/>
      <c r="I523" s="23"/>
      <c r="J523" s="23"/>
      <c r="K523" s="23"/>
      <c r="L523" s="23"/>
      <c r="M523" s="23"/>
      <c r="N523" s="23"/>
      <c r="O523" s="23"/>
      <c r="P523" s="23"/>
      <c r="Q523" s="23" t="str">
        <f>TEXT(1.5,"#,##0.#######")</f>
        <v>1.5</v>
      </c>
      <c r="R523" s="23"/>
      <c r="S523" s="23"/>
      <c r="T523" s="23" t="s">
        <v>317</v>
      </c>
      <c r="U523" s="29"/>
      <c r="V523" s="23"/>
      <c r="W523" s="23"/>
      <c r="X523" s="23"/>
      <c r="Y523" s="23"/>
      <c r="Z523" s="23" t="s">
        <v>318</v>
      </c>
      <c r="AA523" s="23"/>
      <c r="AB523" s="23"/>
      <c r="AC523" s="23"/>
      <c r="AD523" s="23"/>
      <c r="AE523" s="23"/>
      <c r="AF523" s="23"/>
      <c r="AG523" s="23" t="str">
        <f>TEXT([1]자재단가!M59,"#,##0.#######")</f>
        <v>33,000.</v>
      </c>
      <c r="AH523" s="23"/>
      <c r="AI523" s="23"/>
      <c r="AJ523" s="23"/>
      <c r="AK523" s="23"/>
      <c r="AL523" s="23"/>
      <c r="AM523" s="23" t="s">
        <v>102</v>
      </c>
      <c r="AN523" s="23"/>
      <c r="AO523" s="23"/>
      <c r="AP523" s="23" t="str">
        <f>TEXT(828,"#,##0.#######")</f>
        <v>828.</v>
      </c>
      <c r="AQ523" s="23"/>
      <c r="AR523" s="23"/>
      <c r="AS523" s="23" t="s">
        <v>270</v>
      </c>
      <c r="AT523" s="23"/>
      <c r="AU523" s="23"/>
      <c r="AV523" s="23" t="s">
        <v>122</v>
      </c>
      <c r="AW523" s="23"/>
      <c r="AX523" s="23" t="str">
        <f>TEXT(1500,"#,##0.#######")</f>
        <v>1,500.</v>
      </c>
      <c r="AY523" s="23"/>
      <c r="AZ523" s="23"/>
      <c r="BA523" s="23"/>
      <c r="BB523" s="29"/>
      <c r="BC523" s="29" t="s">
        <v>319</v>
      </c>
      <c r="BD523" s="29"/>
      <c r="BE523" s="29"/>
      <c r="BF523" s="29"/>
      <c r="BG523" s="29"/>
      <c r="BH523" s="29"/>
      <c r="BI523" s="23" t="s">
        <v>103</v>
      </c>
      <c r="BJ523" s="23"/>
      <c r="BK523" s="23" t="str">
        <f>TEXT(TRUNC(AG523*AP523/AX523,1),"#,##0.#")</f>
        <v>18,216.</v>
      </c>
      <c r="BL523" s="23"/>
      <c r="BM523" s="23"/>
      <c r="BN523" s="23"/>
      <c r="BO523" s="23"/>
      <c r="BP523" s="23"/>
      <c r="BQ523" s="23"/>
      <c r="BR523" s="29"/>
      <c r="BS523" s="29"/>
      <c r="BT523" s="29"/>
      <c r="BU523" s="29"/>
      <c r="BV523" s="23"/>
      <c r="BW523" s="23"/>
      <c r="BX523" s="23"/>
      <c r="BY523" s="23"/>
      <c r="BZ523" s="23"/>
      <c r="CA523" s="23"/>
      <c r="CB523" s="23"/>
      <c r="CC523" s="23"/>
      <c r="CD523" s="23"/>
      <c r="CE523" s="23"/>
      <c r="CF523" s="23"/>
      <c r="CG523" s="23"/>
      <c r="CH523" s="27"/>
      <c r="CI523" s="27"/>
      <c r="CJ523" s="27" t="str">
        <f>BK523</f>
        <v>18,216.</v>
      </c>
      <c r="CK523" s="28"/>
      <c r="CL523" s="39"/>
    </row>
    <row r="524" spans="2:90" ht="16.5" customHeight="1" x14ac:dyDescent="0.25">
      <c r="B524" s="31"/>
      <c r="C524" s="30"/>
      <c r="D524" s="23"/>
      <c r="E524" s="23"/>
      <c r="F524" s="23"/>
      <c r="G524" s="23" t="s">
        <v>320</v>
      </c>
      <c r="H524" s="23"/>
      <c r="I524" s="23"/>
      <c r="J524" s="23"/>
      <c r="K524" s="23"/>
      <c r="L524" s="23"/>
      <c r="M524" s="23"/>
      <c r="N524" s="23"/>
      <c r="O524" s="23"/>
      <c r="P524" s="23"/>
      <c r="Q524" s="23" t="str">
        <f>TEXT(1.6,"#,##0.#######")</f>
        <v>1.6</v>
      </c>
      <c r="R524" s="23"/>
      <c r="S524" s="23"/>
      <c r="T524" s="23" t="s">
        <v>317</v>
      </c>
      <c r="U524" s="29"/>
      <c r="V524" s="23"/>
      <c r="W524" s="23"/>
      <c r="X524" s="23"/>
      <c r="Y524" s="23"/>
      <c r="Z524" s="23" t="s">
        <v>318</v>
      </c>
      <c r="AA524" s="23"/>
      <c r="AB524" s="23"/>
      <c r="AC524" s="23"/>
      <c r="AD524" s="23"/>
      <c r="AE524" s="23"/>
      <c r="AF524" s="23"/>
      <c r="AG524" s="23" t="str">
        <f>TEXT([1]자재단가!M91,"#,##0.#######")</f>
        <v>25,000.</v>
      </c>
      <c r="AH524" s="23"/>
      <c r="AI524" s="23"/>
      <c r="AJ524" s="23"/>
      <c r="AK524" s="23"/>
      <c r="AL524" s="23"/>
      <c r="AM524" s="23" t="s">
        <v>102</v>
      </c>
      <c r="AN524" s="23"/>
      <c r="AO524" s="23"/>
      <c r="AP524" s="23" t="str">
        <f>TEXT(1011,"#,##0.#######")</f>
        <v>1,011.</v>
      </c>
      <c r="AQ524" s="23"/>
      <c r="AR524" s="23"/>
      <c r="AS524" s="23" t="s">
        <v>270</v>
      </c>
      <c r="AT524" s="23"/>
      <c r="AU524" s="23"/>
      <c r="AV524" s="23" t="s">
        <v>122</v>
      </c>
      <c r="AW524" s="23"/>
      <c r="AX524" s="23" t="str">
        <f>TEXT(1600,"#,##0.#######")</f>
        <v>1,600.</v>
      </c>
      <c r="AY524" s="23"/>
      <c r="AZ524" s="23"/>
      <c r="BA524" s="23"/>
      <c r="BB524" s="29"/>
      <c r="BC524" s="29" t="s">
        <v>319</v>
      </c>
      <c r="BD524" s="29"/>
      <c r="BE524" s="29"/>
      <c r="BF524" s="29"/>
      <c r="BG524" s="29"/>
      <c r="BH524" s="29"/>
      <c r="BI524" s="23" t="s">
        <v>103</v>
      </c>
      <c r="BJ524" s="23"/>
      <c r="BK524" s="23" t="str">
        <f>TEXT(TRUNC(AG524*AP524/AX524,1),"#,##0.#")</f>
        <v>15,796.8</v>
      </c>
      <c r="BL524" s="23"/>
      <c r="BM524" s="23"/>
      <c r="BN524" s="23"/>
      <c r="BO524" s="23"/>
      <c r="BP524" s="23"/>
      <c r="BQ524" s="23"/>
      <c r="BR524" s="29"/>
      <c r="BS524" s="29"/>
      <c r="BT524" s="29"/>
      <c r="BU524" s="29"/>
      <c r="BV524" s="23"/>
      <c r="BW524" s="23"/>
      <c r="BX524" s="23"/>
      <c r="BY524" s="23"/>
      <c r="BZ524" s="23"/>
      <c r="CA524" s="23"/>
      <c r="CB524" s="23"/>
      <c r="CC524" s="23"/>
      <c r="CD524" s="23"/>
      <c r="CE524" s="23"/>
      <c r="CF524" s="23"/>
      <c r="CG524" s="23"/>
      <c r="CH524" s="27"/>
      <c r="CI524" s="27"/>
      <c r="CJ524" s="27" t="str">
        <f>BK524</f>
        <v>15,796.8</v>
      </c>
      <c r="CK524" s="28"/>
      <c r="CL524" s="39"/>
    </row>
    <row r="525" spans="2:90" ht="16.5" customHeight="1" x14ac:dyDescent="0.25">
      <c r="B525" s="31"/>
      <c r="C525" s="30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  <c r="BB525" s="23"/>
      <c r="BC525" s="23"/>
      <c r="BD525" s="23"/>
      <c r="BE525" s="23"/>
      <c r="BF525" s="23"/>
      <c r="BG525" s="23"/>
      <c r="BH525" s="23"/>
      <c r="BI525" s="23"/>
      <c r="BJ525" s="23"/>
      <c r="BK525" s="23"/>
      <c r="BL525" s="23"/>
      <c r="BM525" s="23"/>
      <c r="BN525" s="23"/>
      <c r="BO525" s="23"/>
      <c r="BP525" s="23"/>
      <c r="BQ525" s="23"/>
      <c r="BR525" s="23"/>
      <c r="BS525" s="23"/>
      <c r="BT525" s="23"/>
      <c r="BU525" s="23"/>
      <c r="BV525" s="23"/>
      <c r="BW525" s="23"/>
      <c r="BX525" s="23"/>
      <c r="BY525" s="23"/>
      <c r="BZ525" s="23"/>
      <c r="CA525" s="23"/>
      <c r="CB525" s="23"/>
      <c r="CC525" s="23"/>
      <c r="CD525" s="23"/>
      <c r="CE525" s="23"/>
      <c r="CF525" s="23"/>
      <c r="CG525" s="23"/>
      <c r="CH525" s="27"/>
      <c r="CI525" s="27"/>
      <c r="CJ525" s="27"/>
      <c r="CK525" s="28"/>
      <c r="CL525" s="39"/>
    </row>
    <row r="526" spans="2:90" ht="16.5" customHeight="1" x14ac:dyDescent="0.25">
      <c r="B526" s="31"/>
      <c r="C526" s="30"/>
      <c r="D526" s="23" t="s">
        <v>168</v>
      </c>
      <c r="E526" s="23"/>
      <c r="F526" s="23"/>
      <c r="G526" s="23" t="s">
        <v>161</v>
      </c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  <c r="AZ526" s="23"/>
      <c r="BA526" s="23"/>
      <c r="BB526" s="23"/>
      <c r="BC526" s="23"/>
      <c r="BD526" s="23"/>
      <c r="BE526" s="23"/>
      <c r="BF526" s="23"/>
      <c r="BG526" s="23"/>
      <c r="BH526" s="23"/>
      <c r="BI526" s="23"/>
      <c r="BJ526" s="23"/>
      <c r="BK526" s="23"/>
      <c r="BL526" s="23"/>
      <c r="BM526" s="23"/>
      <c r="BN526" s="23"/>
      <c r="BO526" s="23"/>
      <c r="BP526" s="23"/>
      <c r="BQ526" s="23"/>
      <c r="BR526" s="23"/>
      <c r="BS526" s="23"/>
      <c r="BT526" s="23"/>
      <c r="BU526" s="23"/>
      <c r="BV526" s="23"/>
      <c r="BW526" s="23"/>
      <c r="BX526" s="23"/>
      <c r="BY526" s="23"/>
      <c r="BZ526" s="23"/>
      <c r="CA526" s="23"/>
      <c r="CB526" s="23"/>
      <c r="CC526" s="23"/>
      <c r="CD526" s="23"/>
      <c r="CE526" s="23"/>
      <c r="CF526" s="23"/>
      <c r="CG526" s="23"/>
      <c r="CH526" s="27"/>
      <c r="CI526" s="27"/>
      <c r="CJ526" s="27"/>
      <c r="CK526" s="28"/>
      <c r="CL526" s="39"/>
    </row>
    <row r="527" spans="2:90" ht="16.5" customHeight="1" x14ac:dyDescent="0.25">
      <c r="B527" s="31"/>
      <c r="C527" s="30"/>
      <c r="D527" s="23"/>
      <c r="E527" s="23"/>
      <c r="F527" s="23"/>
      <c r="G527" s="23" t="s">
        <v>321</v>
      </c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 t="s">
        <v>121</v>
      </c>
      <c r="S527" s="23"/>
      <c r="T527" s="23" t="str">
        <f>TEXT([1]노임및중기단가!I13,"#,##0")</f>
        <v>216,409</v>
      </c>
      <c r="U527" s="23"/>
      <c r="V527" s="23"/>
      <c r="W527" s="23"/>
      <c r="X527" s="23"/>
      <c r="Y527" s="23"/>
      <c r="Z527" s="23"/>
      <c r="AA527" s="23"/>
      <c r="AB527" s="23"/>
      <c r="AC527" s="23"/>
      <c r="AD527" s="23" t="s">
        <v>102</v>
      </c>
      <c r="AE527" s="23"/>
      <c r="AF527" s="23"/>
      <c r="AG527" s="23" t="str">
        <f>TEXT(0.24,"#,##0.#######")</f>
        <v>0.24</v>
      </c>
      <c r="AH527" s="23"/>
      <c r="AI527" s="23"/>
      <c r="AJ527" s="23"/>
      <c r="AK527" s="23" t="s">
        <v>243</v>
      </c>
      <c r="AL527" s="23"/>
      <c r="AM527" s="23"/>
      <c r="AN527" s="23" t="s">
        <v>103</v>
      </c>
      <c r="AO527" s="23"/>
      <c r="AP527" s="23" t="str">
        <f>TEXT(TRUNC(T527*AG527,1),"#,##0.#")</f>
        <v>51,938.1</v>
      </c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23"/>
      <c r="BC527" s="23"/>
      <c r="BD527" s="23"/>
      <c r="BE527" s="23"/>
      <c r="BF527" s="23"/>
      <c r="BG527" s="23"/>
      <c r="BH527" s="23"/>
      <c r="BI527" s="23"/>
      <c r="BJ527" s="23"/>
      <c r="BK527" s="23"/>
      <c r="BL527" s="23"/>
      <c r="BM527" s="23"/>
      <c r="BN527" s="23"/>
      <c r="BO527" s="23"/>
      <c r="BP527" s="23"/>
      <c r="BQ527" s="23"/>
      <c r="BR527" s="23"/>
      <c r="BS527" s="23"/>
      <c r="BT527" s="23"/>
      <c r="BU527" s="23"/>
      <c r="BV527" s="23"/>
      <c r="BW527" s="23"/>
      <c r="BX527" s="23"/>
      <c r="BY527" s="23"/>
      <c r="BZ527" s="23"/>
      <c r="CA527" s="23"/>
      <c r="CB527" s="23"/>
      <c r="CC527" s="23"/>
      <c r="CD527" s="23"/>
      <c r="CE527" s="23"/>
      <c r="CF527" s="23"/>
      <c r="CG527" s="23"/>
      <c r="CH527" s="27"/>
      <c r="CI527" s="27" t="str">
        <f>AP527</f>
        <v>51,938.1</v>
      </c>
      <c r="CJ527" s="27"/>
      <c r="CK527" s="28"/>
      <c r="CL527" s="39"/>
    </row>
    <row r="528" spans="2:90" ht="16.5" customHeight="1" x14ac:dyDescent="0.25">
      <c r="B528" s="31"/>
      <c r="C528" s="30"/>
      <c r="D528" s="23"/>
      <c r="E528" s="23"/>
      <c r="F528" s="23"/>
      <c r="G528" s="23" t="s">
        <v>322</v>
      </c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 t="s">
        <v>121</v>
      </c>
      <c r="S528" s="23"/>
      <c r="T528" s="23" t="str">
        <f>TEXT([1]노임및중기단가!I8,"#,##0")</f>
        <v>138,290</v>
      </c>
      <c r="U528" s="23"/>
      <c r="V528" s="23"/>
      <c r="W528" s="23"/>
      <c r="X528" s="23"/>
      <c r="Y528" s="23"/>
      <c r="Z528" s="23"/>
      <c r="AA528" s="23"/>
      <c r="AB528" s="23"/>
      <c r="AC528" s="23"/>
      <c r="AD528" s="23" t="s">
        <v>102</v>
      </c>
      <c r="AE528" s="23"/>
      <c r="AF528" s="23"/>
      <c r="AG528" s="23" t="str">
        <f>TEXT(0.94,"#,##0.#######")</f>
        <v>0.94</v>
      </c>
      <c r="AH528" s="23"/>
      <c r="AI528" s="23"/>
      <c r="AJ528" s="23"/>
      <c r="AK528" s="23" t="s">
        <v>243</v>
      </c>
      <c r="AL528" s="23"/>
      <c r="AM528" s="23"/>
      <c r="AN528" s="23" t="s">
        <v>103</v>
      </c>
      <c r="AO528" s="23"/>
      <c r="AP528" s="23" t="str">
        <f>TEXT(TRUNC(T528*AG528,1),"#,##0.#")</f>
        <v>129,992.6</v>
      </c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  <c r="BB528" s="23"/>
      <c r="BC528" s="23"/>
      <c r="BD528" s="23"/>
      <c r="BE528" s="23"/>
      <c r="BF528" s="23"/>
      <c r="BG528" s="23"/>
      <c r="BH528" s="23"/>
      <c r="BI528" s="23"/>
      <c r="BJ528" s="23"/>
      <c r="BK528" s="23"/>
      <c r="BL528" s="23"/>
      <c r="BM528" s="23"/>
      <c r="BN528" s="23"/>
      <c r="BO528" s="23"/>
      <c r="BP528" s="23"/>
      <c r="BQ528" s="23"/>
      <c r="BR528" s="23"/>
      <c r="BS528" s="23"/>
      <c r="BT528" s="23"/>
      <c r="BU528" s="23"/>
      <c r="BV528" s="23"/>
      <c r="BW528" s="23"/>
      <c r="BX528" s="23"/>
      <c r="BY528" s="23"/>
      <c r="BZ528" s="23"/>
      <c r="CA528" s="23"/>
      <c r="CB528" s="23"/>
      <c r="CC528" s="23"/>
      <c r="CD528" s="23"/>
      <c r="CE528" s="23"/>
      <c r="CF528" s="23"/>
      <c r="CG528" s="23"/>
      <c r="CH528" s="27"/>
      <c r="CI528" s="27" t="str">
        <f>AP528</f>
        <v>129,992.6</v>
      </c>
      <c r="CJ528" s="27"/>
      <c r="CK528" s="28"/>
      <c r="CL528" s="39"/>
    </row>
    <row r="529" spans="1:90" ht="16.5" customHeight="1" x14ac:dyDescent="0.25">
      <c r="B529" s="31"/>
      <c r="C529" s="30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  <c r="AZ529" s="23"/>
      <c r="BA529" s="23"/>
      <c r="BB529" s="23"/>
      <c r="BC529" s="23"/>
      <c r="BD529" s="23"/>
      <c r="BE529" s="23"/>
      <c r="BF529" s="23"/>
      <c r="BG529" s="23"/>
      <c r="BH529" s="23"/>
      <c r="BI529" s="23"/>
      <c r="BJ529" s="23"/>
      <c r="BK529" s="23"/>
      <c r="BL529" s="23"/>
      <c r="BM529" s="23"/>
      <c r="BN529" s="23"/>
      <c r="BO529" s="23"/>
      <c r="BP529" s="23"/>
      <c r="BQ529" s="23"/>
      <c r="BR529" s="23"/>
      <c r="BS529" s="23"/>
      <c r="BT529" s="23"/>
      <c r="BU529" s="23"/>
      <c r="BV529" s="23"/>
      <c r="BW529" s="23"/>
      <c r="BX529" s="23"/>
      <c r="BY529" s="23"/>
      <c r="BZ529" s="23"/>
      <c r="CA529" s="23"/>
      <c r="CB529" s="23"/>
      <c r="CC529" s="23"/>
      <c r="CD529" s="23"/>
      <c r="CE529" s="23"/>
      <c r="CF529" s="23"/>
      <c r="CG529" s="23"/>
      <c r="CH529" s="27"/>
      <c r="CI529" s="27"/>
      <c r="CJ529" s="27"/>
      <c r="CK529" s="28"/>
      <c r="CL529" s="39"/>
    </row>
    <row r="530" spans="1:90" ht="16.5" customHeight="1" x14ac:dyDescent="0.25">
      <c r="B530" s="31"/>
      <c r="C530" s="30"/>
      <c r="D530" s="23" t="s">
        <v>237</v>
      </c>
      <c r="E530" s="23"/>
      <c r="F530" s="23"/>
      <c r="G530" s="23" t="s">
        <v>323</v>
      </c>
      <c r="H530" s="23"/>
      <c r="I530" s="23"/>
      <c r="J530" s="23"/>
      <c r="K530" s="23" t="s">
        <v>127</v>
      </c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  <c r="AY530" s="23"/>
      <c r="AZ530" s="23"/>
      <c r="BA530" s="23"/>
      <c r="BB530" s="23"/>
      <c r="BC530" s="23"/>
      <c r="BD530" s="23"/>
      <c r="BE530" s="23"/>
      <c r="BF530" s="23"/>
      <c r="BG530" s="23"/>
      <c r="BH530" s="23"/>
      <c r="BI530" s="23"/>
      <c r="BJ530" s="23"/>
      <c r="BK530" s="23"/>
      <c r="BL530" s="23"/>
      <c r="BM530" s="23"/>
      <c r="BN530" s="23"/>
      <c r="BO530" s="23"/>
      <c r="BP530" s="23"/>
      <c r="BQ530" s="23"/>
      <c r="BR530" s="23"/>
      <c r="BS530" s="23"/>
      <c r="BT530" s="23"/>
      <c r="BU530" s="23"/>
      <c r="BV530" s="23"/>
      <c r="BW530" s="23"/>
      <c r="BX530" s="23"/>
      <c r="BY530" s="23"/>
      <c r="BZ530" s="23"/>
      <c r="CA530" s="23"/>
      <c r="CB530" s="23"/>
      <c r="CC530" s="23"/>
      <c r="CD530" s="23"/>
      <c r="CE530" s="23"/>
      <c r="CF530" s="23"/>
      <c r="CG530" s="23"/>
      <c r="CH530" s="27"/>
      <c r="CI530" s="27"/>
      <c r="CJ530" s="27"/>
      <c r="CK530" s="28"/>
      <c r="CL530" s="39"/>
    </row>
    <row r="531" spans="1:90" ht="16.5" customHeight="1" x14ac:dyDescent="0.25">
      <c r="B531" s="31"/>
      <c r="C531" s="30"/>
      <c r="D531" s="23"/>
      <c r="E531" s="23"/>
      <c r="F531" s="23"/>
      <c r="G531" s="23"/>
      <c r="H531" s="23" t="s">
        <v>120</v>
      </c>
      <c r="I531" s="23"/>
      <c r="J531" s="23"/>
      <c r="K531" s="23"/>
      <c r="L531" s="23"/>
      <c r="M531" s="23"/>
      <c r="N531" s="23"/>
      <c r="O531" s="23" t="s">
        <v>121</v>
      </c>
      <c r="P531" s="23"/>
      <c r="Q531" s="23" t="str">
        <f>AP527</f>
        <v>51,938.1</v>
      </c>
      <c r="R531" s="23"/>
      <c r="S531" s="23"/>
      <c r="T531" s="23"/>
      <c r="U531" s="23"/>
      <c r="V531" s="23"/>
      <c r="W531" s="23"/>
      <c r="X531" s="23"/>
      <c r="Y531" s="23"/>
      <c r="Z531" s="23" t="s">
        <v>97</v>
      </c>
      <c r="AA531" s="23"/>
      <c r="AB531" s="23" t="str">
        <f>AP528</f>
        <v>129,992.6</v>
      </c>
      <c r="AC531" s="23"/>
      <c r="AD531" s="23"/>
      <c r="AE531" s="23"/>
      <c r="AF531" s="23"/>
      <c r="AG531" s="23"/>
      <c r="AH531" s="23"/>
      <c r="AI531" s="23"/>
      <c r="AJ531" s="29"/>
      <c r="AK531" s="29"/>
      <c r="AL531" s="29"/>
      <c r="AM531" s="29"/>
      <c r="AN531" s="29"/>
      <c r="AO531" s="29"/>
      <c r="AP531" s="29"/>
      <c r="AQ531" s="29"/>
      <c r="AR531" s="29"/>
      <c r="AS531" s="23" t="s">
        <v>103</v>
      </c>
      <c r="AT531" s="23"/>
      <c r="AU531" s="23"/>
      <c r="AV531" s="23" t="str">
        <f>TEXT(TRUNC(Q531+AB531,0),"#,##0")</f>
        <v>181,930</v>
      </c>
      <c r="AW531" s="23"/>
      <c r="AX531" s="23"/>
      <c r="AY531" s="23"/>
      <c r="AZ531" s="23"/>
      <c r="BA531" s="23"/>
      <c r="BB531" s="23"/>
      <c r="BC531" s="23"/>
      <c r="BD531" s="23"/>
      <c r="BE531" s="23"/>
      <c r="BF531" s="23"/>
      <c r="BG531" s="23"/>
      <c r="BH531" s="23"/>
      <c r="BI531" s="23"/>
      <c r="BJ531" s="23"/>
      <c r="BK531" s="23"/>
      <c r="BL531" s="23"/>
      <c r="BM531" s="23"/>
      <c r="BN531" s="23"/>
      <c r="BO531" s="23"/>
      <c r="BP531" s="23"/>
      <c r="BQ531" s="23"/>
      <c r="BR531" s="23"/>
      <c r="BS531" s="23"/>
      <c r="BT531" s="23"/>
      <c r="BU531" s="23"/>
      <c r="BV531" s="23"/>
      <c r="BW531" s="23"/>
      <c r="BX531" s="23"/>
      <c r="BY531" s="23"/>
      <c r="BZ531" s="23"/>
      <c r="CA531" s="23"/>
      <c r="CB531" s="23"/>
      <c r="CC531" s="23"/>
      <c r="CD531" s="23"/>
      <c r="CE531" s="23"/>
      <c r="CF531" s="23"/>
      <c r="CG531" s="23"/>
      <c r="CH531" s="27"/>
      <c r="CI531" s="27"/>
      <c r="CJ531" s="27"/>
      <c r="CK531" s="28"/>
      <c r="CL531" s="39"/>
    </row>
    <row r="532" spans="1:90" ht="16.5" customHeight="1" x14ac:dyDescent="0.25">
      <c r="B532" s="31"/>
      <c r="C532" s="30"/>
      <c r="D532" s="23"/>
      <c r="E532" s="23"/>
      <c r="F532" s="23"/>
      <c r="G532" s="23"/>
      <c r="H532" s="23" t="s">
        <v>123</v>
      </c>
      <c r="I532" s="23"/>
      <c r="J532" s="23"/>
      <c r="K532" s="23"/>
      <c r="L532" s="23"/>
      <c r="M532" s="23"/>
      <c r="N532" s="23"/>
      <c r="O532" s="23" t="s">
        <v>121</v>
      </c>
      <c r="P532" s="23"/>
      <c r="Q532" s="23" t="str">
        <f>TEXT(BK522,"#,###.##")</f>
        <v>40,655.</v>
      </c>
      <c r="R532" s="23"/>
      <c r="S532" s="23"/>
      <c r="T532" s="23"/>
      <c r="U532" s="23"/>
      <c r="V532" s="23"/>
      <c r="W532" s="23"/>
      <c r="X532" s="23"/>
      <c r="Y532" s="23"/>
      <c r="Z532" s="23" t="s">
        <v>97</v>
      </c>
      <c r="AA532" s="23"/>
      <c r="AB532" s="23" t="str">
        <f>TEXT(BK523,"#,###.##")</f>
        <v>18,216.</v>
      </c>
      <c r="AC532" s="23"/>
      <c r="AD532" s="23"/>
      <c r="AE532" s="23"/>
      <c r="AF532" s="23"/>
      <c r="AG532" s="23"/>
      <c r="AH532" s="23"/>
      <c r="AI532" s="29"/>
      <c r="AJ532" s="23" t="s">
        <v>97</v>
      </c>
      <c r="AK532" s="23"/>
      <c r="AL532" s="23" t="str">
        <f>TEXT(BK524,"#,###.##")</f>
        <v>15,796.8</v>
      </c>
      <c r="AM532" s="23"/>
      <c r="AN532" s="23"/>
      <c r="AO532" s="23"/>
      <c r="AP532" s="23"/>
      <c r="AQ532" s="29"/>
      <c r="AR532" s="29"/>
      <c r="AS532" s="23" t="s">
        <v>103</v>
      </c>
      <c r="AT532" s="23"/>
      <c r="AU532" s="23"/>
      <c r="AV532" s="23" t="str">
        <f>TEXT(TRUNC(Q532+AB532+AL532,0),"#,##0")</f>
        <v>74,667</v>
      </c>
      <c r="AW532" s="23"/>
      <c r="AX532" s="23"/>
      <c r="AY532" s="23"/>
      <c r="AZ532" s="23"/>
      <c r="BA532" s="23"/>
      <c r="BB532" s="23"/>
      <c r="BC532" s="23"/>
      <c r="BD532" s="23"/>
      <c r="BE532" s="23"/>
      <c r="BF532" s="23"/>
      <c r="BG532" s="23"/>
      <c r="BH532" s="23"/>
      <c r="BI532" s="23"/>
      <c r="BJ532" s="23"/>
      <c r="BK532" s="23"/>
      <c r="BL532" s="23"/>
      <c r="BM532" s="23"/>
      <c r="BN532" s="23"/>
      <c r="BO532" s="23"/>
      <c r="BP532" s="23"/>
      <c r="BQ532" s="23"/>
      <c r="BR532" s="23"/>
      <c r="BS532" s="23"/>
      <c r="BT532" s="23"/>
      <c r="BU532" s="23"/>
      <c r="BV532" s="23"/>
      <c r="BW532" s="23"/>
      <c r="BX532" s="23"/>
      <c r="BY532" s="23"/>
      <c r="BZ532" s="23"/>
      <c r="CA532" s="23"/>
      <c r="CB532" s="23"/>
      <c r="CC532" s="23"/>
      <c r="CD532" s="23"/>
      <c r="CE532" s="23"/>
      <c r="CF532" s="23"/>
      <c r="CG532" s="23"/>
      <c r="CH532" s="27"/>
      <c r="CI532" s="27"/>
      <c r="CJ532" s="27"/>
      <c r="CK532" s="28"/>
      <c r="CL532" s="39"/>
    </row>
    <row r="533" spans="1:90" ht="16.5" customHeight="1" x14ac:dyDescent="0.25">
      <c r="B533" s="31"/>
      <c r="C533" s="30"/>
      <c r="D533" s="23"/>
      <c r="E533" s="23"/>
      <c r="F533" s="23"/>
      <c r="G533" s="23"/>
      <c r="H533" s="23" t="s">
        <v>124</v>
      </c>
      <c r="I533" s="23"/>
      <c r="J533" s="23"/>
      <c r="K533" s="23"/>
      <c r="L533" s="23" t="s">
        <v>125</v>
      </c>
      <c r="M533" s="23"/>
      <c r="N533" s="23"/>
      <c r="O533" s="23" t="s">
        <v>121</v>
      </c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  <c r="BB533" s="23"/>
      <c r="BC533" s="23"/>
      <c r="BD533" s="23"/>
      <c r="BE533" s="23"/>
      <c r="BF533" s="23"/>
      <c r="BG533" s="23"/>
      <c r="BH533" s="23"/>
      <c r="BI533" s="23"/>
      <c r="BJ533" s="23"/>
      <c r="BK533" s="23"/>
      <c r="BL533" s="23"/>
      <c r="BM533" s="23"/>
      <c r="BN533" s="23"/>
      <c r="BO533" s="23"/>
      <c r="BP533" s="23"/>
      <c r="BQ533" s="23"/>
      <c r="BR533" s="23"/>
      <c r="BS533" s="23"/>
      <c r="BT533" s="23"/>
      <c r="BU533" s="23"/>
      <c r="BV533" s="23"/>
      <c r="BW533" s="23"/>
      <c r="BX533" s="23"/>
      <c r="BY533" s="23"/>
      <c r="BZ533" s="23"/>
      <c r="CA533" s="23"/>
      <c r="CB533" s="23"/>
      <c r="CC533" s="23"/>
      <c r="CD533" s="23"/>
      <c r="CE533" s="23"/>
      <c r="CF533" s="23"/>
      <c r="CG533" s="23"/>
      <c r="CH533" s="27"/>
      <c r="CI533" s="27"/>
      <c r="CJ533" s="27"/>
      <c r="CK533" s="28"/>
      <c r="CL533" s="39"/>
    </row>
    <row r="534" spans="1:90" ht="16.5" customHeight="1" x14ac:dyDescent="0.25">
      <c r="B534" s="31"/>
      <c r="C534" s="30"/>
      <c r="D534" s="23"/>
      <c r="E534" s="23"/>
      <c r="F534" s="23"/>
      <c r="G534" s="23"/>
      <c r="H534" s="23" t="s">
        <v>126</v>
      </c>
      <c r="I534" s="23"/>
      <c r="J534" s="23"/>
      <c r="K534" s="23"/>
      <c r="L534" s="23" t="s">
        <v>127</v>
      </c>
      <c r="M534" s="23"/>
      <c r="N534" s="23"/>
      <c r="O534" s="23" t="s">
        <v>121</v>
      </c>
      <c r="P534" s="23"/>
      <c r="Q534" s="23" t="str">
        <f>TEXT(AV531+AV532,"#,##0")</f>
        <v>256,597</v>
      </c>
      <c r="R534" s="29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  <c r="AY534" s="23"/>
      <c r="AZ534" s="23"/>
      <c r="BA534" s="23"/>
      <c r="BB534" s="23"/>
      <c r="BC534" s="23"/>
      <c r="BD534" s="23"/>
      <c r="BE534" s="23"/>
      <c r="BF534" s="23"/>
      <c r="BG534" s="23"/>
      <c r="BH534" s="23"/>
      <c r="BI534" s="23"/>
      <c r="BJ534" s="23"/>
      <c r="BK534" s="23"/>
      <c r="BL534" s="23"/>
      <c r="BM534" s="23"/>
      <c r="BN534" s="23"/>
      <c r="BO534" s="23"/>
      <c r="BP534" s="23"/>
      <c r="BQ534" s="23"/>
      <c r="BR534" s="23"/>
      <c r="BS534" s="23"/>
      <c r="BT534" s="23"/>
      <c r="BU534" s="23"/>
      <c r="BV534" s="23"/>
      <c r="BW534" s="23"/>
      <c r="BX534" s="23"/>
      <c r="BY534" s="23"/>
      <c r="BZ534" s="23"/>
      <c r="CA534" s="23"/>
      <c r="CB534" s="23"/>
      <c r="CC534" s="23"/>
      <c r="CD534" s="23"/>
      <c r="CE534" s="23"/>
      <c r="CF534" s="23"/>
      <c r="CG534" s="23"/>
      <c r="CH534" s="27">
        <f>CI534+CJ534+CK534</f>
        <v>256597</v>
      </c>
      <c r="CI534" s="27" t="str">
        <f>AV531</f>
        <v>181,930</v>
      </c>
      <c r="CJ534" s="27" t="str">
        <f>AV532</f>
        <v>74,667</v>
      </c>
      <c r="CK534" s="28"/>
      <c r="CL534" s="39"/>
    </row>
    <row r="535" spans="1:90" ht="16.5" customHeight="1" x14ac:dyDescent="0.25">
      <c r="B535" s="22"/>
      <c r="C535" s="23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  <c r="AQ535" s="29"/>
      <c r="AR535" s="29"/>
      <c r="AS535" s="29"/>
      <c r="AT535" s="29"/>
      <c r="AU535" s="29"/>
      <c r="AV535" s="29"/>
      <c r="AW535" s="29"/>
      <c r="AX535" s="29"/>
      <c r="AY535" s="29"/>
      <c r="AZ535" s="29"/>
      <c r="BA535" s="29"/>
      <c r="BB535" s="29"/>
      <c r="BC535" s="29"/>
      <c r="BD535" s="29"/>
      <c r="BE535" s="29"/>
      <c r="BF535" s="29"/>
      <c r="BG535" s="29"/>
      <c r="BH535" s="29"/>
      <c r="BI535" s="29"/>
      <c r="BJ535" s="29"/>
      <c r="BK535" s="29"/>
      <c r="BL535" s="29"/>
      <c r="BM535" s="29"/>
      <c r="BN535" s="29"/>
      <c r="BO535" s="29"/>
      <c r="BP535" s="29"/>
      <c r="BQ535" s="29"/>
      <c r="BR535" s="29"/>
      <c r="BS535" s="29"/>
      <c r="BT535" s="29"/>
      <c r="BU535" s="29"/>
      <c r="BV535" s="29"/>
      <c r="BW535" s="29"/>
      <c r="BX535" s="29"/>
      <c r="BY535" s="29"/>
      <c r="BZ535" s="29"/>
      <c r="CA535" s="29"/>
      <c r="CB535" s="29"/>
      <c r="CC535" s="29"/>
      <c r="CD535" s="29"/>
      <c r="CE535" s="29"/>
      <c r="CF535" s="29"/>
      <c r="CG535" s="29"/>
      <c r="CH535" s="27"/>
      <c r="CI535" s="27"/>
      <c r="CJ535" s="27"/>
      <c r="CK535" s="28"/>
      <c r="CL535" s="39"/>
    </row>
    <row r="536" spans="1:90" ht="16.5" customHeight="1" x14ac:dyDescent="0.2">
      <c r="A536" s="20"/>
      <c r="B536" s="46" t="s">
        <v>324</v>
      </c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  <c r="AA536" s="47"/>
      <c r="AB536" s="47"/>
      <c r="AC536" s="47"/>
      <c r="AD536" s="47"/>
      <c r="AE536" s="47"/>
      <c r="AF536" s="47"/>
      <c r="AG536" s="47"/>
      <c r="AH536" s="47"/>
      <c r="AI536" s="47"/>
      <c r="AJ536" s="47"/>
      <c r="AK536" s="47"/>
      <c r="AL536" s="47"/>
      <c r="AM536" s="47"/>
      <c r="AN536" s="47"/>
      <c r="AO536" s="47"/>
      <c r="AP536" s="47"/>
      <c r="AQ536" s="47"/>
      <c r="AR536" s="47"/>
      <c r="AS536" s="47"/>
      <c r="AT536" s="47"/>
      <c r="AU536" s="47"/>
      <c r="AV536" s="47"/>
      <c r="AW536" s="47"/>
      <c r="AX536" s="47"/>
      <c r="AY536" s="47"/>
      <c r="AZ536" s="47"/>
      <c r="BA536" s="47"/>
      <c r="BB536" s="47"/>
      <c r="BC536" s="47"/>
      <c r="BD536" s="47"/>
      <c r="BE536" s="47"/>
      <c r="BF536" s="47"/>
      <c r="BG536" s="47"/>
      <c r="BH536" s="47"/>
      <c r="BI536" s="47"/>
      <c r="BJ536" s="47"/>
      <c r="BK536" s="47"/>
      <c r="BL536" s="47"/>
      <c r="BM536" s="47"/>
      <c r="BN536" s="47"/>
      <c r="BO536" s="47"/>
      <c r="BP536" s="47"/>
      <c r="BQ536" s="47"/>
      <c r="BR536" s="47"/>
      <c r="BS536" s="47"/>
      <c r="BT536" s="47"/>
      <c r="BU536" s="47"/>
      <c r="BV536" s="47"/>
      <c r="BW536" s="47"/>
      <c r="BX536" s="47"/>
      <c r="BY536" s="47"/>
      <c r="BZ536" s="47"/>
      <c r="CA536" s="47"/>
      <c r="CB536" s="47"/>
      <c r="CC536" s="47"/>
      <c r="CD536" s="47"/>
      <c r="CE536" s="47"/>
      <c r="CF536" s="47"/>
      <c r="CG536" s="47"/>
      <c r="CH536" s="48">
        <f>TRUNC(CI536+CJ536+CK536,0)</f>
        <v>135014</v>
      </c>
      <c r="CI536" s="48">
        <f>TRUNC(CI543,0)</f>
        <v>59464</v>
      </c>
      <c r="CJ536" s="49">
        <f>TRUNC(CJ539+CJ540,0)</f>
        <v>75550</v>
      </c>
      <c r="CK536" s="49"/>
      <c r="CL536" s="97">
        <v>911</v>
      </c>
    </row>
    <row r="537" spans="1:90" ht="16.5" customHeight="1" x14ac:dyDescent="0.25">
      <c r="A537" s="20"/>
      <c r="B537" s="31"/>
      <c r="C537" s="29"/>
      <c r="D537" s="23" t="s">
        <v>325</v>
      </c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  <c r="AQ537" s="29"/>
      <c r="AR537" s="29"/>
      <c r="AS537" s="29"/>
      <c r="AT537" s="29"/>
      <c r="AU537" s="29"/>
      <c r="AV537" s="29"/>
      <c r="AW537" s="29"/>
      <c r="AX537" s="29"/>
      <c r="AY537" s="29"/>
      <c r="AZ537" s="29"/>
      <c r="BA537" s="29"/>
      <c r="BB537" s="29"/>
      <c r="BC537" s="29"/>
      <c r="BD537" s="29"/>
      <c r="BE537" s="29"/>
      <c r="BF537" s="29"/>
      <c r="BG537" s="29"/>
      <c r="BH537" s="29"/>
      <c r="BI537" s="29"/>
      <c r="BJ537" s="29"/>
      <c r="BK537" s="29"/>
      <c r="BL537" s="29"/>
      <c r="BM537" s="29"/>
      <c r="BN537" s="29"/>
      <c r="BO537" s="29"/>
      <c r="BP537" s="29"/>
      <c r="BQ537" s="29"/>
      <c r="BR537" s="29"/>
      <c r="BS537" s="29"/>
      <c r="BT537" s="29"/>
      <c r="BU537" s="29"/>
      <c r="BV537" s="29"/>
      <c r="BW537" s="29"/>
      <c r="BX537" s="29"/>
      <c r="BY537" s="29"/>
      <c r="BZ537" s="29"/>
      <c r="CA537" s="29"/>
      <c r="CB537" s="29"/>
      <c r="CC537" s="29"/>
      <c r="CD537" s="29"/>
      <c r="CE537" s="29"/>
      <c r="CF537" s="29"/>
      <c r="CG537" s="29"/>
      <c r="CH537" s="27"/>
      <c r="CI537" s="27"/>
      <c r="CJ537" s="27"/>
      <c r="CK537" s="28"/>
      <c r="CL537" s="39" t="s">
        <v>326</v>
      </c>
    </row>
    <row r="538" spans="1:90" ht="16.5" customHeight="1" x14ac:dyDescent="0.2">
      <c r="A538" s="20"/>
      <c r="B538" s="31"/>
      <c r="C538" s="30"/>
      <c r="D538" s="23" t="s">
        <v>94</v>
      </c>
      <c r="E538" s="23"/>
      <c r="F538" s="23"/>
      <c r="G538" s="23" t="s">
        <v>123</v>
      </c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  <c r="AZ538" s="23"/>
      <c r="BA538" s="23"/>
      <c r="BB538" s="23"/>
      <c r="BC538" s="23"/>
      <c r="BD538" s="23"/>
      <c r="BE538" s="23"/>
      <c r="BF538" s="23"/>
      <c r="BG538" s="23"/>
      <c r="BH538" s="23"/>
      <c r="BI538" s="23"/>
      <c r="BJ538" s="23"/>
      <c r="BK538" s="23"/>
      <c r="BL538" s="23"/>
      <c r="BM538" s="23"/>
      <c r="BN538" s="23"/>
      <c r="BO538" s="23"/>
      <c r="BP538" s="23"/>
      <c r="BQ538" s="23"/>
      <c r="BR538" s="23"/>
      <c r="BS538" s="23"/>
      <c r="BT538" s="23"/>
      <c r="BU538" s="23"/>
      <c r="BV538" s="23"/>
      <c r="BW538" s="23"/>
      <c r="BX538" s="23"/>
      <c r="BY538" s="23"/>
      <c r="BZ538" s="23"/>
      <c r="CA538" s="23"/>
      <c r="CB538" s="23"/>
      <c r="CC538" s="23"/>
      <c r="CD538" s="23"/>
      <c r="CE538" s="23"/>
      <c r="CF538" s="23"/>
      <c r="CG538" s="23"/>
      <c r="CH538" s="27"/>
      <c r="CI538" s="27"/>
      <c r="CJ538" s="27"/>
      <c r="CK538" s="28"/>
      <c r="CL538" s="39"/>
    </row>
    <row r="539" spans="1:90" ht="16.5" customHeight="1" x14ac:dyDescent="0.25">
      <c r="A539" s="20"/>
      <c r="B539" s="31"/>
      <c r="C539" s="30"/>
      <c r="D539" s="23"/>
      <c r="E539" s="23"/>
      <c r="F539" s="23"/>
      <c r="G539" s="23" t="s">
        <v>314</v>
      </c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9"/>
      <c r="U539" s="23" t="s">
        <v>315</v>
      </c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 t="str">
        <f>TEXT([1]자재단가!M66,"#,##0.#######")</f>
        <v>4,700.</v>
      </c>
      <c r="AH539" s="23"/>
      <c r="AI539" s="23"/>
      <c r="AJ539" s="23"/>
      <c r="AK539" s="23"/>
      <c r="AL539" s="23"/>
      <c r="AM539" s="23" t="s">
        <v>102</v>
      </c>
      <c r="AN539" s="23"/>
      <c r="AO539" s="23"/>
      <c r="AP539" s="23" t="str">
        <f>TEXT(320,"#,##0.#######")</f>
        <v>320.</v>
      </c>
      <c r="AQ539" s="23"/>
      <c r="AR539" s="23"/>
      <c r="AS539" s="23" t="s">
        <v>270</v>
      </c>
      <c r="AT539" s="23"/>
      <c r="AU539" s="23"/>
      <c r="AV539" s="23" t="s">
        <v>122</v>
      </c>
      <c r="AW539" s="23"/>
      <c r="AX539" s="23" t="str">
        <f>TEXT(40,"#,##0.#######")</f>
        <v>40.</v>
      </c>
      <c r="AY539" s="29"/>
      <c r="AZ539" s="23"/>
      <c r="BA539" s="23"/>
      <c r="BB539" s="29" t="s">
        <v>270</v>
      </c>
      <c r="BC539" s="29"/>
      <c r="BD539" s="29"/>
      <c r="BE539" s="29"/>
      <c r="BF539" s="29"/>
      <c r="BG539" s="29"/>
      <c r="BH539" s="29"/>
      <c r="BI539" s="23" t="s">
        <v>103</v>
      </c>
      <c r="BJ539" s="23"/>
      <c r="BK539" s="23" t="str">
        <f>TEXT(TRUNC(AG539*AP539/AX539,1),"#,##0.#")</f>
        <v>37,600.</v>
      </c>
      <c r="BL539" s="23"/>
      <c r="BM539" s="23"/>
      <c r="BN539" s="23"/>
      <c r="BO539" s="23"/>
      <c r="BP539" s="23"/>
      <c r="BQ539" s="23"/>
      <c r="BR539" s="29"/>
      <c r="BS539" s="29"/>
      <c r="BT539" s="29"/>
      <c r="BU539" s="29"/>
      <c r="BV539" s="23"/>
      <c r="BW539" s="23"/>
      <c r="BX539" s="23"/>
      <c r="BY539" s="23"/>
      <c r="BZ539" s="23"/>
      <c r="CA539" s="23"/>
      <c r="CB539" s="23"/>
      <c r="CC539" s="23"/>
      <c r="CD539" s="23"/>
      <c r="CE539" s="23"/>
      <c r="CF539" s="23"/>
      <c r="CG539" s="23"/>
      <c r="CH539" s="27"/>
      <c r="CI539" s="27"/>
      <c r="CJ539" s="27" t="str">
        <f>BK539</f>
        <v>37,600.</v>
      </c>
      <c r="CK539" s="28"/>
      <c r="CL539" s="39"/>
    </row>
    <row r="540" spans="1:90" ht="16.5" customHeight="1" x14ac:dyDescent="0.25">
      <c r="A540" s="20"/>
      <c r="B540" s="31"/>
      <c r="C540" s="30"/>
      <c r="D540" s="23"/>
      <c r="E540" s="23"/>
      <c r="F540" s="23"/>
      <c r="G540" s="23" t="s">
        <v>316</v>
      </c>
      <c r="H540" s="23"/>
      <c r="I540" s="23"/>
      <c r="J540" s="23"/>
      <c r="K540" s="23"/>
      <c r="L540" s="23"/>
      <c r="M540" s="23"/>
      <c r="N540" s="23"/>
      <c r="O540" s="23"/>
      <c r="P540" s="23"/>
      <c r="Q540" s="23" t="str">
        <f>TEXT(1.5,"#,##0.#######")</f>
        <v>1.5</v>
      </c>
      <c r="R540" s="23"/>
      <c r="S540" s="23"/>
      <c r="T540" s="23" t="s">
        <v>317</v>
      </c>
      <c r="U540" s="29"/>
      <c r="V540" s="23"/>
      <c r="W540" s="23"/>
      <c r="X540" s="23"/>
      <c r="Y540" s="23"/>
      <c r="Z540" s="23" t="s">
        <v>318</v>
      </c>
      <c r="AA540" s="23"/>
      <c r="AB540" s="23"/>
      <c r="AC540" s="23"/>
      <c r="AD540" s="23"/>
      <c r="AE540" s="23"/>
      <c r="AF540" s="23"/>
      <c r="AG540" s="23" t="str">
        <f>TEXT([1]자재단가!M59,"#,##0.#######")</f>
        <v>33,000.</v>
      </c>
      <c r="AH540" s="23"/>
      <c r="AI540" s="23"/>
      <c r="AJ540" s="23"/>
      <c r="AK540" s="23"/>
      <c r="AL540" s="23"/>
      <c r="AM540" s="23" t="s">
        <v>102</v>
      </c>
      <c r="AN540" s="23"/>
      <c r="AO540" s="23"/>
      <c r="AP540" s="23" t="str">
        <f>TEXT(1.15,"#,##0.#######")</f>
        <v>1.15</v>
      </c>
      <c r="AQ540" s="23"/>
      <c r="AR540" s="23"/>
      <c r="AS540" s="23" t="s">
        <v>327</v>
      </c>
      <c r="AT540" s="23"/>
      <c r="AU540" s="23"/>
      <c r="AV540" s="23"/>
      <c r="AW540" s="23"/>
      <c r="AX540" s="23"/>
      <c r="AY540" s="23"/>
      <c r="AZ540" s="23"/>
      <c r="BA540" s="23"/>
      <c r="BB540" s="29"/>
      <c r="BC540" s="29"/>
      <c r="BD540" s="29"/>
      <c r="BE540" s="29"/>
      <c r="BF540" s="29"/>
      <c r="BG540" s="29"/>
      <c r="BH540" s="29"/>
      <c r="BI540" s="23" t="s">
        <v>103</v>
      </c>
      <c r="BJ540" s="23"/>
      <c r="BK540" s="23" t="str">
        <f>TEXT(TRUNC(AG540*AP540,1),"#,##0.#")</f>
        <v>37,950.</v>
      </c>
      <c r="BL540" s="23"/>
      <c r="BM540" s="23"/>
      <c r="BN540" s="23"/>
      <c r="BO540" s="23"/>
      <c r="BP540" s="23"/>
      <c r="BQ540" s="23"/>
      <c r="BR540" s="29"/>
      <c r="BS540" s="29"/>
      <c r="BT540" s="29"/>
      <c r="BU540" s="29"/>
      <c r="BV540" s="23"/>
      <c r="BW540" s="23"/>
      <c r="BX540" s="23"/>
      <c r="BY540" s="23"/>
      <c r="BZ540" s="23"/>
      <c r="CA540" s="23"/>
      <c r="CB540" s="23"/>
      <c r="CC540" s="23"/>
      <c r="CD540" s="23"/>
      <c r="CE540" s="23"/>
      <c r="CF540" s="23"/>
      <c r="CG540" s="23"/>
      <c r="CH540" s="27"/>
      <c r="CI540" s="27"/>
      <c r="CJ540" s="27" t="str">
        <f>BK540</f>
        <v>37,950.</v>
      </c>
      <c r="CK540" s="28"/>
      <c r="CL540" s="39"/>
    </row>
    <row r="541" spans="1:90" ht="16.5" customHeight="1" x14ac:dyDescent="0.25">
      <c r="A541" s="20"/>
      <c r="B541" s="31"/>
      <c r="C541" s="30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9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  <c r="BB541" s="29"/>
      <c r="BC541" s="29"/>
      <c r="BD541" s="29"/>
      <c r="BE541" s="29"/>
      <c r="BF541" s="29"/>
      <c r="BG541" s="29"/>
      <c r="BH541" s="29"/>
      <c r="BI541" s="23"/>
      <c r="BJ541" s="23"/>
      <c r="BK541" s="23"/>
      <c r="BL541" s="23"/>
      <c r="BM541" s="23"/>
      <c r="BN541" s="23"/>
      <c r="BO541" s="23"/>
      <c r="BP541" s="23"/>
      <c r="BQ541" s="23"/>
      <c r="BR541" s="29"/>
      <c r="BS541" s="29"/>
      <c r="BT541" s="29"/>
      <c r="BU541" s="29"/>
      <c r="BV541" s="23"/>
      <c r="BW541" s="23"/>
      <c r="BX541" s="23"/>
      <c r="BY541" s="23"/>
      <c r="BZ541" s="23"/>
      <c r="CA541" s="23"/>
      <c r="CB541" s="23"/>
      <c r="CC541" s="23"/>
      <c r="CD541" s="23"/>
      <c r="CE541" s="23"/>
      <c r="CF541" s="23"/>
      <c r="CG541" s="23"/>
      <c r="CH541" s="27"/>
      <c r="CI541" s="27"/>
      <c r="CJ541" s="27"/>
      <c r="CK541" s="28"/>
      <c r="CL541" s="39"/>
    </row>
    <row r="542" spans="1:90" ht="16.5" customHeight="1" x14ac:dyDescent="0.2">
      <c r="A542" s="20"/>
      <c r="B542" s="31"/>
      <c r="C542" s="30"/>
      <c r="D542" s="23" t="s">
        <v>168</v>
      </c>
      <c r="E542" s="23"/>
      <c r="F542" s="23"/>
      <c r="G542" s="23" t="s">
        <v>161</v>
      </c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  <c r="AY542" s="23"/>
      <c r="AZ542" s="23"/>
      <c r="BA542" s="23"/>
      <c r="BB542" s="23"/>
      <c r="BC542" s="23"/>
      <c r="BD542" s="23"/>
      <c r="BE542" s="23"/>
      <c r="BF542" s="23"/>
      <c r="BG542" s="23"/>
      <c r="BH542" s="23"/>
      <c r="BI542" s="23"/>
      <c r="BJ542" s="23"/>
      <c r="BK542" s="23"/>
      <c r="BL542" s="23"/>
      <c r="BM542" s="23"/>
      <c r="BN542" s="23"/>
      <c r="BO542" s="23"/>
      <c r="BP542" s="23"/>
      <c r="BQ542" s="23"/>
      <c r="BR542" s="23"/>
      <c r="BS542" s="23"/>
      <c r="BT542" s="23"/>
      <c r="BU542" s="23"/>
      <c r="BV542" s="23"/>
      <c r="BW542" s="23"/>
      <c r="BX542" s="23"/>
      <c r="BY542" s="23"/>
      <c r="BZ542" s="23"/>
      <c r="CA542" s="23"/>
      <c r="CB542" s="23"/>
      <c r="CC542" s="23"/>
      <c r="CD542" s="23"/>
      <c r="CE542" s="23"/>
      <c r="CF542" s="23"/>
      <c r="CG542" s="23"/>
      <c r="CH542" s="27"/>
      <c r="CI542" s="27"/>
      <c r="CJ542" s="27"/>
      <c r="CK542" s="28"/>
      <c r="CL542" s="39"/>
    </row>
    <row r="543" spans="1:90" ht="16.5" customHeight="1" x14ac:dyDescent="0.25">
      <c r="A543" s="20"/>
      <c r="B543" s="31"/>
      <c r="C543" s="30"/>
      <c r="D543" s="29"/>
      <c r="E543" s="29"/>
      <c r="F543" s="29"/>
      <c r="G543" s="23" t="s">
        <v>322</v>
      </c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 t="s">
        <v>121</v>
      </c>
      <c r="S543" s="23"/>
      <c r="T543" s="23" t="str">
        <f>TEXT([1]노임및중기단가!I8,"#,##0")</f>
        <v>138,290</v>
      </c>
      <c r="U543" s="23"/>
      <c r="V543" s="23"/>
      <c r="W543" s="23"/>
      <c r="X543" s="23"/>
      <c r="Y543" s="23"/>
      <c r="Z543" s="23"/>
      <c r="AA543" s="23"/>
      <c r="AB543" s="23"/>
      <c r="AC543" s="23"/>
      <c r="AD543" s="23" t="s">
        <v>102</v>
      </c>
      <c r="AE543" s="23"/>
      <c r="AF543" s="23"/>
      <c r="AG543" s="23" t="str">
        <f>TEXT(0.43,"#,##0.#######")</f>
        <v>0.43</v>
      </c>
      <c r="AH543" s="23"/>
      <c r="AI543" s="23"/>
      <c r="AJ543" s="23"/>
      <c r="AK543" s="23" t="s">
        <v>243</v>
      </c>
      <c r="AL543" s="23"/>
      <c r="AM543" s="23"/>
      <c r="AN543" s="23" t="s">
        <v>103</v>
      </c>
      <c r="AO543" s="23"/>
      <c r="AP543" s="23" t="str">
        <f>TEXT(TRUNC(T543*AG543,1),"#,##0.#")</f>
        <v>59,464.7</v>
      </c>
      <c r="AQ543" s="23"/>
      <c r="AR543" s="23"/>
      <c r="AS543" s="23"/>
      <c r="AT543" s="23"/>
      <c r="AU543" s="23"/>
      <c r="AV543" s="23"/>
      <c r="AW543" s="23"/>
      <c r="AX543" s="23"/>
      <c r="AY543" s="29"/>
      <c r="AZ543" s="29"/>
      <c r="BA543" s="29"/>
      <c r="BB543" s="29"/>
      <c r="BC543" s="29"/>
      <c r="BD543" s="29"/>
      <c r="BE543" s="29"/>
      <c r="BF543" s="29"/>
      <c r="BG543" s="29"/>
      <c r="BH543" s="29"/>
      <c r="BI543" s="29"/>
      <c r="BJ543" s="29"/>
      <c r="BK543" s="29"/>
      <c r="BL543" s="29"/>
      <c r="BM543" s="29"/>
      <c r="BN543" s="29"/>
      <c r="BO543" s="29"/>
      <c r="BP543" s="29"/>
      <c r="BQ543" s="29"/>
      <c r="BR543" s="29"/>
      <c r="BS543" s="29"/>
      <c r="BT543" s="29"/>
      <c r="BU543" s="29"/>
      <c r="BV543" s="29"/>
      <c r="BW543" s="29"/>
      <c r="BX543" s="29"/>
      <c r="BY543" s="29"/>
      <c r="BZ543" s="29"/>
      <c r="CA543" s="29"/>
      <c r="CB543" s="29"/>
      <c r="CC543" s="23"/>
      <c r="CD543" s="23"/>
      <c r="CE543" s="23"/>
      <c r="CF543" s="23"/>
      <c r="CG543" s="23"/>
      <c r="CH543" s="27"/>
      <c r="CI543" s="27" t="str">
        <f>AP543</f>
        <v>59,464.7</v>
      </c>
      <c r="CJ543" s="27"/>
      <c r="CK543" s="28"/>
      <c r="CL543" s="39"/>
    </row>
    <row r="544" spans="1:90" ht="16.5" customHeight="1" x14ac:dyDescent="0.25">
      <c r="A544" s="20"/>
      <c r="B544" s="31"/>
      <c r="C544" s="30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  <c r="AQ544" s="29"/>
      <c r="AR544" s="29"/>
      <c r="AS544" s="29"/>
      <c r="AT544" s="29"/>
      <c r="AU544" s="29"/>
      <c r="AV544" s="29"/>
      <c r="AW544" s="29"/>
      <c r="AX544" s="29"/>
      <c r="AY544" s="29"/>
      <c r="AZ544" s="29"/>
      <c r="BA544" s="29"/>
      <c r="BB544" s="29"/>
      <c r="BC544" s="29"/>
      <c r="BD544" s="29"/>
      <c r="BE544" s="29"/>
      <c r="BF544" s="29"/>
      <c r="BG544" s="29"/>
      <c r="BH544" s="29"/>
      <c r="BI544" s="29"/>
      <c r="BJ544" s="29"/>
      <c r="BK544" s="29"/>
      <c r="BL544" s="29"/>
      <c r="BM544" s="29"/>
      <c r="BN544" s="29"/>
      <c r="BO544" s="29"/>
      <c r="BP544" s="29"/>
      <c r="BQ544" s="29"/>
      <c r="BR544" s="29"/>
      <c r="BS544" s="29"/>
      <c r="BT544" s="29"/>
      <c r="BU544" s="29"/>
      <c r="BV544" s="29"/>
      <c r="BW544" s="29"/>
      <c r="BX544" s="29"/>
      <c r="BY544" s="29"/>
      <c r="BZ544" s="29"/>
      <c r="CA544" s="29"/>
      <c r="CB544" s="29"/>
      <c r="CC544" s="23"/>
      <c r="CD544" s="23"/>
      <c r="CE544" s="23"/>
      <c r="CF544" s="23"/>
      <c r="CG544" s="23"/>
      <c r="CH544" s="27"/>
      <c r="CI544" s="27"/>
      <c r="CJ544" s="27"/>
      <c r="CK544" s="28"/>
      <c r="CL544" s="39"/>
    </row>
    <row r="545" spans="1:90" ht="16.5" customHeight="1" x14ac:dyDescent="0.25">
      <c r="A545" s="20"/>
      <c r="B545" s="31"/>
      <c r="C545" s="30"/>
      <c r="D545" s="23" t="s">
        <v>237</v>
      </c>
      <c r="E545" s="23"/>
      <c r="F545" s="23"/>
      <c r="G545" s="23" t="s">
        <v>323</v>
      </c>
      <c r="H545" s="23"/>
      <c r="I545" s="23"/>
      <c r="J545" s="23"/>
      <c r="K545" s="23" t="s">
        <v>127</v>
      </c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  <c r="AY545" s="23"/>
      <c r="AZ545" s="23"/>
      <c r="BA545" s="23"/>
      <c r="BB545" s="23"/>
      <c r="BC545" s="23"/>
      <c r="BD545" s="23"/>
      <c r="BE545" s="23"/>
      <c r="BF545" s="23"/>
      <c r="BG545" s="29"/>
      <c r="BH545" s="29"/>
      <c r="BI545" s="29"/>
      <c r="BJ545" s="29"/>
      <c r="BK545" s="29"/>
      <c r="BL545" s="29"/>
      <c r="BM545" s="29"/>
      <c r="BN545" s="29"/>
      <c r="BO545" s="29"/>
      <c r="BP545" s="29"/>
      <c r="BQ545" s="29"/>
      <c r="BR545" s="29"/>
      <c r="BS545" s="29"/>
      <c r="BT545" s="29"/>
      <c r="BU545" s="29"/>
      <c r="BV545" s="29"/>
      <c r="BW545" s="29"/>
      <c r="BX545" s="29"/>
      <c r="BY545" s="29"/>
      <c r="BZ545" s="29"/>
      <c r="CA545" s="29"/>
      <c r="CB545" s="29"/>
      <c r="CC545" s="23"/>
      <c r="CD545" s="23"/>
      <c r="CE545" s="23"/>
      <c r="CF545" s="23"/>
      <c r="CG545" s="23"/>
      <c r="CH545" s="27"/>
      <c r="CI545" s="27"/>
      <c r="CJ545" s="27"/>
      <c r="CK545" s="28"/>
      <c r="CL545" s="39"/>
    </row>
    <row r="546" spans="1:90" ht="16.5" customHeight="1" x14ac:dyDescent="0.25">
      <c r="A546" s="20"/>
      <c r="B546" s="31"/>
      <c r="C546" s="30"/>
      <c r="D546" s="23"/>
      <c r="E546" s="23"/>
      <c r="F546" s="23"/>
      <c r="G546" s="23"/>
      <c r="H546" s="23" t="s">
        <v>120</v>
      </c>
      <c r="I546" s="23"/>
      <c r="J546" s="23"/>
      <c r="K546" s="23"/>
      <c r="L546" s="23"/>
      <c r="M546" s="23"/>
      <c r="N546" s="23"/>
      <c r="O546" s="23" t="s">
        <v>121</v>
      </c>
      <c r="P546" s="23"/>
      <c r="Q546" s="23" t="str">
        <f>AP543</f>
        <v>59,464.7</v>
      </c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 t="s">
        <v>103</v>
      </c>
      <c r="AI546" s="23"/>
      <c r="AJ546" s="23"/>
      <c r="AK546" s="23" t="str">
        <f>TEXT(TRUNC(Q546+AB546,0),"#,##0")</f>
        <v>59,464</v>
      </c>
      <c r="AL546" s="23"/>
      <c r="AM546" s="23"/>
      <c r="AN546" s="23"/>
      <c r="AO546" s="23"/>
      <c r="AP546" s="23"/>
      <c r="AQ546" s="29"/>
      <c r="AR546" s="29"/>
      <c r="AS546" s="29"/>
      <c r="AT546" s="29"/>
      <c r="AU546" s="29"/>
      <c r="AV546" s="29"/>
      <c r="AW546" s="29"/>
      <c r="AX546" s="29"/>
      <c r="AY546" s="29"/>
      <c r="AZ546" s="29"/>
      <c r="BA546" s="29"/>
      <c r="BB546" s="23"/>
      <c r="BC546" s="23"/>
      <c r="BD546" s="23"/>
      <c r="BE546" s="23"/>
      <c r="BF546" s="23"/>
      <c r="BG546" s="23"/>
      <c r="BH546" s="23"/>
      <c r="BI546" s="23"/>
      <c r="BJ546" s="23"/>
      <c r="BK546" s="23"/>
      <c r="BL546" s="29"/>
      <c r="BM546" s="29"/>
      <c r="BN546" s="29"/>
      <c r="BO546" s="29"/>
      <c r="BP546" s="29"/>
      <c r="BQ546" s="29"/>
      <c r="BR546" s="29"/>
      <c r="BS546" s="29"/>
      <c r="BT546" s="29"/>
      <c r="BU546" s="29"/>
      <c r="BV546" s="29"/>
      <c r="BW546" s="29"/>
      <c r="BX546" s="29"/>
      <c r="BY546" s="29"/>
      <c r="BZ546" s="29"/>
      <c r="CA546" s="29"/>
      <c r="CB546" s="29"/>
      <c r="CC546" s="23"/>
      <c r="CD546" s="23"/>
      <c r="CE546" s="23"/>
      <c r="CF546" s="23"/>
      <c r="CG546" s="23"/>
      <c r="CH546" s="27"/>
      <c r="CI546" s="27"/>
      <c r="CJ546" s="27"/>
      <c r="CK546" s="28"/>
      <c r="CL546" s="39"/>
    </row>
    <row r="547" spans="1:90" ht="16.5" customHeight="1" x14ac:dyDescent="0.25">
      <c r="A547" s="20"/>
      <c r="B547" s="31"/>
      <c r="C547" s="30"/>
      <c r="D547" s="23"/>
      <c r="E547" s="23"/>
      <c r="F547" s="23"/>
      <c r="G547" s="23"/>
      <c r="H547" s="23" t="s">
        <v>123</v>
      </c>
      <c r="I547" s="23"/>
      <c r="J547" s="23"/>
      <c r="K547" s="23"/>
      <c r="L547" s="23"/>
      <c r="M547" s="23"/>
      <c r="N547" s="23"/>
      <c r="O547" s="23" t="s">
        <v>121</v>
      </c>
      <c r="P547" s="23"/>
      <c r="Q547" s="23" t="str">
        <f>BK539</f>
        <v>37,600.</v>
      </c>
      <c r="R547" s="23"/>
      <c r="S547" s="23"/>
      <c r="T547" s="23"/>
      <c r="U547" s="23"/>
      <c r="V547" s="23"/>
      <c r="W547" s="23"/>
      <c r="X547" s="23"/>
      <c r="Y547" s="23"/>
      <c r="Z547" s="23" t="s">
        <v>97</v>
      </c>
      <c r="AA547" s="23"/>
      <c r="AB547" s="23" t="str">
        <f>TEXT(BK540,"#,###.##")</f>
        <v>37,950.</v>
      </c>
      <c r="AC547" s="23"/>
      <c r="AD547" s="23"/>
      <c r="AE547" s="23"/>
      <c r="AF547" s="23"/>
      <c r="AG547" s="23"/>
      <c r="AH547" s="23" t="s">
        <v>103</v>
      </c>
      <c r="AI547" s="23"/>
      <c r="AJ547" s="23"/>
      <c r="AK547" s="23" t="str">
        <f>TEXT(TRUNC(Q547+AB547,0),"#,##0")</f>
        <v>75,550</v>
      </c>
      <c r="AL547" s="23"/>
      <c r="AM547" s="23"/>
      <c r="AN547" s="23"/>
      <c r="AO547" s="23"/>
      <c r="AP547" s="23"/>
      <c r="AQ547" s="29"/>
      <c r="AR547" s="29"/>
      <c r="AS547" s="29"/>
      <c r="AT547" s="29"/>
      <c r="AU547" s="29"/>
      <c r="AV547" s="29"/>
      <c r="AW547" s="29"/>
      <c r="AX547" s="29"/>
      <c r="AY547" s="29"/>
      <c r="AZ547" s="29"/>
      <c r="BA547" s="29"/>
      <c r="BB547" s="23"/>
      <c r="BC547" s="23"/>
      <c r="BD547" s="23"/>
      <c r="BE547" s="23"/>
      <c r="BF547" s="23"/>
      <c r="BG547" s="23"/>
      <c r="BH547" s="23"/>
      <c r="BI547" s="23"/>
      <c r="BJ547" s="23"/>
      <c r="BK547" s="23"/>
      <c r="BL547" s="23"/>
      <c r="BM547" s="23"/>
      <c r="BN547" s="23"/>
      <c r="BO547" s="23"/>
      <c r="BP547" s="23"/>
      <c r="BQ547" s="23"/>
      <c r="BR547" s="23"/>
      <c r="BS547" s="23"/>
      <c r="BT547" s="23"/>
      <c r="BU547" s="23"/>
      <c r="BV547" s="23"/>
      <c r="BW547" s="23"/>
      <c r="BX547" s="23"/>
      <c r="BY547" s="23"/>
      <c r="BZ547" s="23"/>
      <c r="CA547" s="23"/>
      <c r="CB547" s="23"/>
      <c r="CC547" s="23"/>
      <c r="CD547" s="23"/>
      <c r="CE547" s="23"/>
      <c r="CF547" s="23"/>
      <c r="CG547" s="23"/>
      <c r="CH547" s="27"/>
      <c r="CI547" s="27"/>
      <c r="CJ547" s="27"/>
      <c r="CK547" s="28"/>
      <c r="CL547" s="39"/>
    </row>
    <row r="548" spans="1:90" ht="16.5" customHeight="1" x14ac:dyDescent="0.2">
      <c r="A548" s="20"/>
      <c r="B548" s="31"/>
      <c r="C548" s="30"/>
      <c r="D548" s="23"/>
      <c r="E548" s="23"/>
      <c r="F548" s="23"/>
      <c r="G548" s="23"/>
      <c r="H548" s="23" t="s">
        <v>124</v>
      </c>
      <c r="I548" s="23"/>
      <c r="J548" s="23"/>
      <c r="K548" s="23"/>
      <c r="L548" s="23" t="s">
        <v>125</v>
      </c>
      <c r="M548" s="23"/>
      <c r="N548" s="23"/>
      <c r="O548" s="23" t="s">
        <v>121</v>
      </c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  <c r="AZ548" s="23"/>
      <c r="BA548" s="23"/>
      <c r="BB548" s="23"/>
      <c r="BC548" s="23"/>
      <c r="BD548" s="23"/>
      <c r="BE548" s="23"/>
      <c r="BF548" s="23"/>
      <c r="BG548" s="23"/>
      <c r="BH548" s="23"/>
      <c r="BI548" s="23"/>
      <c r="BJ548" s="23"/>
      <c r="BK548" s="23"/>
      <c r="BL548" s="23"/>
      <c r="BM548" s="23"/>
      <c r="BN548" s="23"/>
      <c r="BO548" s="23"/>
      <c r="BP548" s="23"/>
      <c r="BQ548" s="23"/>
      <c r="BR548" s="23"/>
      <c r="BS548" s="23"/>
      <c r="BT548" s="23"/>
      <c r="BU548" s="23"/>
      <c r="BV548" s="23"/>
      <c r="BW548" s="23"/>
      <c r="BX548" s="23"/>
      <c r="BY548" s="23"/>
      <c r="BZ548" s="23"/>
      <c r="CA548" s="23"/>
      <c r="CB548" s="23"/>
      <c r="CC548" s="23"/>
      <c r="CD548" s="23"/>
      <c r="CE548" s="23"/>
      <c r="CF548" s="23"/>
      <c r="CG548" s="23"/>
      <c r="CH548" s="27"/>
      <c r="CI548" s="27"/>
      <c r="CJ548" s="27"/>
      <c r="CK548" s="28"/>
      <c r="CL548" s="39"/>
    </row>
    <row r="549" spans="1:90" ht="16.5" customHeight="1" x14ac:dyDescent="0.25">
      <c r="A549" s="20"/>
      <c r="B549" s="31"/>
      <c r="C549" s="30"/>
      <c r="D549" s="23"/>
      <c r="E549" s="23"/>
      <c r="F549" s="23"/>
      <c r="G549" s="23"/>
      <c r="H549" s="23" t="s">
        <v>126</v>
      </c>
      <c r="I549" s="23"/>
      <c r="J549" s="23"/>
      <c r="K549" s="23"/>
      <c r="L549" s="23" t="s">
        <v>127</v>
      </c>
      <c r="M549" s="23"/>
      <c r="N549" s="23"/>
      <c r="O549" s="23" t="s">
        <v>121</v>
      </c>
      <c r="P549" s="23"/>
      <c r="Q549" s="23" t="str">
        <f>TEXT(AK546+AK547,"#,##0")</f>
        <v>135,014</v>
      </c>
      <c r="R549" s="29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  <c r="AY549" s="23"/>
      <c r="AZ549" s="23"/>
      <c r="BA549" s="23"/>
      <c r="BB549" s="23"/>
      <c r="BC549" s="23"/>
      <c r="BD549" s="23"/>
      <c r="BE549" s="23"/>
      <c r="BF549" s="23"/>
      <c r="BG549" s="23"/>
      <c r="BH549" s="23"/>
      <c r="BI549" s="23"/>
      <c r="BJ549" s="23"/>
      <c r="BK549" s="23"/>
      <c r="BL549" s="23"/>
      <c r="BM549" s="23"/>
      <c r="BN549" s="23"/>
      <c r="BO549" s="23"/>
      <c r="BP549" s="23"/>
      <c r="BQ549" s="23"/>
      <c r="BR549" s="23"/>
      <c r="BS549" s="23"/>
      <c r="BT549" s="23"/>
      <c r="BU549" s="23"/>
      <c r="BV549" s="23"/>
      <c r="BW549" s="23"/>
      <c r="BX549" s="23"/>
      <c r="BY549" s="23"/>
      <c r="BZ549" s="23"/>
      <c r="CA549" s="23"/>
      <c r="CB549" s="23"/>
      <c r="CC549" s="23"/>
      <c r="CD549" s="23"/>
      <c r="CE549" s="23"/>
      <c r="CF549" s="23"/>
      <c r="CG549" s="23"/>
      <c r="CH549" s="27">
        <f>CI549+CJ549+CK549</f>
        <v>135014</v>
      </c>
      <c r="CI549" s="27" t="str">
        <f>AK546</f>
        <v>59,464</v>
      </c>
      <c r="CJ549" s="27" t="str">
        <f>AK547</f>
        <v>75,550</v>
      </c>
      <c r="CK549" s="28"/>
      <c r="CL549" s="39"/>
    </row>
    <row r="550" spans="1:90" ht="16.5" customHeight="1" x14ac:dyDescent="0.2">
      <c r="A550" s="20"/>
      <c r="B550" s="31"/>
      <c r="C550" s="30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  <c r="AZ550" s="23"/>
      <c r="BA550" s="23"/>
      <c r="BB550" s="23"/>
      <c r="BC550" s="23"/>
      <c r="BD550" s="23"/>
      <c r="BE550" s="23"/>
      <c r="BF550" s="23"/>
      <c r="BG550" s="23"/>
      <c r="BH550" s="23"/>
      <c r="BI550" s="23"/>
      <c r="BJ550" s="23"/>
      <c r="BK550" s="23"/>
      <c r="BL550" s="23"/>
      <c r="BM550" s="23"/>
      <c r="BN550" s="23"/>
      <c r="BO550" s="23"/>
      <c r="BP550" s="23"/>
      <c r="BQ550" s="23"/>
      <c r="BR550" s="23"/>
      <c r="BS550" s="23"/>
      <c r="BT550" s="23"/>
      <c r="BU550" s="23"/>
      <c r="BV550" s="23"/>
      <c r="BW550" s="23"/>
      <c r="BX550" s="23"/>
      <c r="BY550" s="23"/>
      <c r="BZ550" s="23"/>
      <c r="CA550" s="23"/>
      <c r="CB550" s="23"/>
      <c r="CC550" s="23"/>
      <c r="CD550" s="23"/>
      <c r="CE550" s="23"/>
      <c r="CF550" s="23"/>
      <c r="CG550" s="23"/>
      <c r="CH550" s="27"/>
      <c r="CI550" s="27"/>
      <c r="CJ550" s="27"/>
      <c r="CK550" s="28"/>
      <c r="CL550" s="39"/>
    </row>
    <row r="551" spans="1:90" ht="16.5" customHeight="1" x14ac:dyDescent="0.2">
      <c r="A551" s="20"/>
      <c r="B551" s="46" t="s">
        <v>328</v>
      </c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  <c r="AA551" s="47"/>
      <c r="AB551" s="47"/>
      <c r="AC551" s="47"/>
      <c r="AD551" s="47"/>
      <c r="AE551" s="47"/>
      <c r="AF551" s="47"/>
      <c r="AG551" s="47"/>
      <c r="AH551" s="47"/>
      <c r="AI551" s="47"/>
      <c r="AJ551" s="47"/>
      <c r="AK551" s="47"/>
      <c r="AL551" s="47"/>
      <c r="AM551" s="47"/>
      <c r="AN551" s="47"/>
      <c r="AO551" s="47"/>
      <c r="AP551" s="47"/>
      <c r="AQ551" s="47"/>
      <c r="AR551" s="47"/>
      <c r="AS551" s="47"/>
      <c r="AT551" s="47"/>
      <c r="AU551" s="47"/>
      <c r="AV551" s="47"/>
      <c r="AW551" s="47"/>
      <c r="AX551" s="47"/>
      <c r="AY551" s="47"/>
      <c r="AZ551" s="47"/>
      <c r="BA551" s="47"/>
      <c r="BB551" s="47"/>
      <c r="BC551" s="47"/>
      <c r="BD551" s="47"/>
      <c r="BE551" s="47"/>
      <c r="BF551" s="47"/>
      <c r="BG551" s="47"/>
      <c r="BH551" s="47"/>
      <c r="BI551" s="47"/>
      <c r="BJ551" s="47"/>
      <c r="BK551" s="47"/>
      <c r="BL551" s="47"/>
      <c r="BM551" s="47"/>
      <c r="BN551" s="47"/>
      <c r="BO551" s="47"/>
      <c r="BP551" s="47"/>
      <c r="BQ551" s="47"/>
      <c r="BR551" s="47"/>
      <c r="BS551" s="47"/>
      <c r="BT551" s="47"/>
      <c r="BU551" s="47"/>
      <c r="BV551" s="47"/>
      <c r="BW551" s="47"/>
      <c r="BX551" s="47"/>
      <c r="BY551" s="47"/>
      <c r="BZ551" s="47"/>
      <c r="CA551" s="47"/>
      <c r="CB551" s="47"/>
      <c r="CC551" s="47"/>
      <c r="CD551" s="47"/>
      <c r="CE551" s="47"/>
      <c r="CF551" s="47"/>
      <c r="CG551" s="47"/>
      <c r="CH551" s="48">
        <f>TRUNC(CI551+CJ551+CK551,0)</f>
        <v>13863</v>
      </c>
      <c r="CI551" s="48">
        <f>TRUNC(CI554+CI555,0)</f>
        <v>13592</v>
      </c>
      <c r="CJ551" s="49"/>
      <c r="CK551" s="49">
        <f>TRUNC(CK557,0)</f>
        <v>271</v>
      </c>
      <c r="CL551" s="97">
        <v>912</v>
      </c>
    </row>
    <row r="552" spans="1:90" ht="16.5" customHeight="1" x14ac:dyDescent="0.25">
      <c r="A552" s="20"/>
      <c r="B552" s="31"/>
      <c r="C552" s="29"/>
      <c r="D552" s="23" t="s">
        <v>329</v>
      </c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  <c r="AQ552" s="29"/>
      <c r="AR552" s="29"/>
      <c r="AS552" s="29"/>
      <c r="AT552" s="29"/>
      <c r="AU552" s="29"/>
      <c r="AV552" s="29"/>
      <c r="AW552" s="29"/>
      <c r="AX552" s="29"/>
      <c r="AY552" s="29"/>
      <c r="AZ552" s="29"/>
      <c r="BA552" s="29"/>
      <c r="BB552" s="29"/>
      <c r="BC552" s="29"/>
      <c r="BD552" s="29"/>
      <c r="BE552" s="29"/>
      <c r="BF552" s="29"/>
      <c r="BG552" s="29"/>
      <c r="BH552" s="29"/>
      <c r="BI552" s="29"/>
      <c r="BJ552" s="29"/>
      <c r="BK552" s="29"/>
      <c r="BL552" s="29"/>
      <c r="BM552" s="29"/>
      <c r="BN552" s="29"/>
      <c r="BO552" s="29"/>
      <c r="BP552" s="29"/>
      <c r="BQ552" s="29"/>
      <c r="BR552" s="29"/>
      <c r="BS552" s="29"/>
      <c r="BT552" s="29"/>
      <c r="BU552" s="29"/>
      <c r="BV552" s="29"/>
      <c r="BW552" s="29"/>
      <c r="BX552" s="29"/>
      <c r="BY552" s="29"/>
      <c r="BZ552" s="29"/>
      <c r="CA552" s="29"/>
      <c r="CB552" s="29"/>
      <c r="CC552" s="29"/>
      <c r="CD552" s="29"/>
      <c r="CE552" s="29"/>
      <c r="CF552" s="29"/>
      <c r="CG552" s="29"/>
      <c r="CH552" s="27"/>
      <c r="CI552" s="27"/>
      <c r="CJ552" s="27"/>
      <c r="CK552" s="28"/>
      <c r="CL552" s="39" t="s">
        <v>326</v>
      </c>
    </row>
    <row r="553" spans="1:90" ht="16.5" customHeight="1" x14ac:dyDescent="0.25">
      <c r="A553" s="20"/>
      <c r="B553" s="31"/>
      <c r="C553" s="30"/>
      <c r="D553" s="23" t="s">
        <v>94</v>
      </c>
      <c r="E553" s="23"/>
      <c r="F553" s="23"/>
      <c r="G553" s="23" t="s">
        <v>161</v>
      </c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  <c r="AW553" s="23"/>
      <c r="AX553" s="23"/>
      <c r="AY553" s="23"/>
      <c r="AZ553" s="23"/>
      <c r="BA553" s="23"/>
      <c r="BB553" s="23"/>
      <c r="BC553" s="23"/>
      <c r="BD553" s="23"/>
      <c r="BE553" s="23"/>
      <c r="BF553" s="23"/>
      <c r="BG553" s="23"/>
      <c r="BH553" s="23"/>
      <c r="BI553" s="23"/>
      <c r="BJ553" s="23"/>
      <c r="BK553" s="23"/>
      <c r="BL553" s="29"/>
      <c r="BM553" s="29"/>
      <c r="BN553" s="29"/>
      <c r="BO553" s="29"/>
      <c r="BP553" s="29"/>
      <c r="BQ553" s="29"/>
      <c r="BR553" s="29"/>
      <c r="BS553" s="29"/>
      <c r="BT553" s="29"/>
      <c r="BU553" s="29"/>
      <c r="BV553" s="29"/>
      <c r="BW553" s="29"/>
      <c r="BX553" s="29"/>
      <c r="BY553" s="23"/>
      <c r="BZ553" s="23"/>
      <c r="CA553" s="23"/>
      <c r="CB553" s="23"/>
      <c r="CC553" s="23"/>
      <c r="CD553" s="23"/>
      <c r="CE553" s="23"/>
      <c r="CF553" s="23"/>
      <c r="CG553" s="23"/>
      <c r="CH553" s="27"/>
      <c r="CI553" s="27"/>
      <c r="CJ553" s="27"/>
      <c r="CK553" s="28"/>
      <c r="CL553" s="39"/>
    </row>
    <row r="554" spans="1:90" ht="16.5" customHeight="1" x14ac:dyDescent="0.25">
      <c r="A554" s="20"/>
      <c r="B554" s="31"/>
      <c r="C554" s="30"/>
      <c r="D554" s="29"/>
      <c r="E554" s="29"/>
      <c r="F554" s="29"/>
      <c r="G554" s="23" t="s">
        <v>330</v>
      </c>
      <c r="H554" s="23"/>
      <c r="I554" s="23"/>
      <c r="J554" s="23"/>
      <c r="K554" s="23"/>
      <c r="L554" s="23"/>
      <c r="M554" s="23"/>
      <c r="N554" s="23" t="s">
        <v>121</v>
      </c>
      <c r="O554" s="23"/>
      <c r="P554" s="23" t="str">
        <f>TEXT([1]노임및중기단가!I11,"#,##0")</f>
        <v>216,528</v>
      </c>
      <c r="Q554" s="23"/>
      <c r="R554" s="23"/>
      <c r="S554" s="23"/>
      <c r="T554" s="23"/>
      <c r="U554" s="23"/>
      <c r="V554" s="23"/>
      <c r="W554" s="23" t="s">
        <v>102</v>
      </c>
      <c r="X554" s="23"/>
      <c r="Y554" s="23"/>
      <c r="Z554" s="23" t="str">
        <f>TEXT(0.05,"#,##0.#######")</f>
        <v>0.05</v>
      </c>
      <c r="AA554" s="23"/>
      <c r="AB554" s="23"/>
      <c r="AC554" s="23"/>
      <c r="AD554" s="23" t="s">
        <v>331</v>
      </c>
      <c r="AE554" s="23"/>
      <c r="AF554" s="29"/>
      <c r="AG554" s="29"/>
      <c r="AH554" s="29"/>
      <c r="AI554" s="23"/>
      <c r="AJ554" s="23" t="s">
        <v>103</v>
      </c>
      <c r="AK554" s="23"/>
      <c r="AL554" s="23" t="str">
        <f>TEXT(TRUNC(P554*Z554,1),"#,##0.#")</f>
        <v>10,826.4</v>
      </c>
      <c r="AM554" s="23"/>
      <c r="AN554" s="34"/>
      <c r="AO554" s="34"/>
      <c r="AP554" s="34"/>
      <c r="AQ554" s="34"/>
      <c r="AR554" s="23" t="s">
        <v>288</v>
      </c>
      <c r="AS554" s="23"/>
      <c r="AT554" s="23"/>
      <c r="AU554" s="23"/>
      <c r="AV554" s="23"/>
      <c r="AW554" s="29"/>
      <c r="AX554" s="29"/>
      <c r="AY554" s="29"/>
      <c r="AZ554" s="29"/>
      <c r="BA554" s="29"/>
      <c r="BB554" s="29"/>
      <c r="BC554" s="29"/>
      <c r="BD554" s="29"/>
      <c r="BE554" s="23"/>
      <c r="BF554" s="23"/>
      <c r="BG554" s="23"/>
      <c r="BH554" s="23"/>
      <c r="BI554" s="23"/>
      <c r="BJ554" s="23"/>
      <c r="BK554" s="23"/>
      <c r="BL554" s="23"/>
      <c r="BM554" s="23"/>
      <c r="BN554" s="23"/>
      <c r="BO554" s="23"/>
      <c r="BP554" s="23"/>
      <c r="BQ554" s="23"/>
      <c r="BR554" s="23"/>
      <c r="BS554" s="23"/>
      <c r="BT554" s="23"/>
      <c r="BU554" s="23"/>
      <c r="BV554" s="23"/>
      <c r="BW554" s="23"/>
      <c r="BX554" s="23"/>
      <c r="BY554" s="23"/>
      <c r="BZ554" s="23"/>
      <c r="CA554" s="23"/>
      <c r="CB554" s="23"/>
      <c r="CC554" s="23"/>
      <c r="CD554" s="23"/>
      <c r="CE554" s="23"/>
      <c r="CF554" s="23"/>
      <c r="CG554" s="23"/>
      <c r="CH554" s="27"/>
      <c r="CI554" s="27" t="str">
        <f>AL554</f>
        <v>10,826.4</v>
      </c>
      <c r="CJ554" s="27"/>
      <c r="CK554" s="28"/>
      <c r="CL554" s="39"/>
    </row>
    <row r="555" spans="1:90" ht="16.5" customHeight="1" x14ac:dyDescent="0.25">
      <c r="A555" s="20"/>
      <c r="B555" s="31"/>
      <c r="C555" s="30"/>
      <c r="D555" s="23"/>
      <c r="E555" s="23"/>
      <c r="F555" s="23"/>
      <c r="G555" s="23" t="s">
        <v>322</v>
      </c>
      <c r="H555" s="23"/>
      <c r="I555" s="23"/>
      <c r="J555" s="23"/>
      <c r="K555" s="23"/>
      <c r="L555" s="23"/>
      <c r="M555" s="23"/>
      <c r="N555" s="23" t="s">
        <v>121</v>
      </c>
      <c r="O555" s="23"/>
      <c r="P555" s="23" t="str">
        <f>TEXT([1]노임및중기단가!I8,"#,##0")</f>
        <v>138,290</v>
      </c>
      <c r="Q555" s="23"/>
      <c r="R555" s="23"/>
      <c r="S555" s="23"/>
      <c r="T555" s="23"/>
      <c r="U555" s="23"/>
      <c r="V555" s="23"/>
      <c r="W555" s="23" t="s">
        <v>102</v>
      </c>
      <c r="X555" s="23"/>
      <c r="Y555" s="23"/>
      <c r="Z555" s="23" t="str">
        <f>TEXT(0.02,"#,##0.#######")</f>
        <v>0.02</v>
      </c>
      <c r="AA555" s="23"/>
      <c r="AB555" s="23"/>
      <c r="AC555" s="23"/>
      <c r="AD555" s="23" t="s">
        <v>331</v>
      </c>
      <c r="AE555" s="23"/>
      <c r="AF555" s="29"/>
      <c r="AG555" s="29"/>
      <c r="AH555" s="29"/>
      <c r="AI555" s="23"/>
      <c r="AJ555" s="23" t="s">
        <v>103</v>
      </c>
      <c r="AK555" s="23"/>
      <c r="AL555" s="23" t="str">
        <f>TEXT(TRUNC(P555*Z555,1),"#,##0.#")</f>
        <v>2,765.8</v>
      </c>
      <c r="AM555" s="23"/>
      <c r="AN555" s="34"/>
      <c r="AO555" s="34"/>
      <c r="AP555" s="34"/>
      <c r="AQ555" s="34"/>
      <c r="AR555" s="23" t="s">
        <v>288</v>
      </c>
      <c r="AS555" s="23"/>
      <c r="AT555" s="23"/>
      <c r="AU555" s="23"/>
      <c r="AV555" s="23"/>
      <c r="AW555" s="23"/>
      <c r="AX555" s="23"/>
      <c r="AY555" s="23"/>
      <c r="AZ555" s="29"/>
      <c r="BA555" s="23"/>
      <c r="BB555" s="23"/>
      <c r="BC555" s="29"/>
      <c r="BD555" s="29"/>
      <c r="BE555" s="29"/>
      <c r="BF555" s="29"/>
      <c r="BG555" s="29"/>
      <c r="BH555" s="29"/>
      <c r="BI555" s="29"/>
      <c r="BJ555" s="29"/>
      <c r="BK555" s="29"/>
      <c r="BL555" s="29"/>
      <c r="BM555" s="29"/>
      <c r="BN555" s="29"/>
      <c r="BO555" s="29"/>
      <c r="BP555" s="23"/>
      <c r="BQ555" s="23"/>
      <c r="BR555" s="23"/>
      <c r="BS555" s="23"/>
      <c r="BT555" s="23"/>
      <c r="BU555" s="23"/>
      <c r="BV555" s="23"/>
      <c r="BW555" s="23"/>
      <c r="BX555" s="23"/>
      <c r="BY555" s="23"/>
      <c r="BZ555" s="23"/>
      <c r="CA555" s="23"/>
      <c r="CB555" s="23"/>
      <c r="CC555" s="23"/>
      <c r="CD555" s="23"/>
      <c r="CE555" s="23"/>
      <c r="CF555" s="23"/>
      <c r="CG555" s="23"/>
      <c r="CH555" s="27"/>
      <c r="CI555" s="27" t="str">
        <f>AL555</f>
        <v>2,765.8</v>
      </c>
      <c r="CJ555" s="27"/>
      <c r="CK555" s="28"/>
      <c r="CL555" s="39"/>
    </row>
    <row r="556" spans="1:90" ht="16.5" customHeight="1" x14ac:dyDescent="0.25">
      <c r="A556" s="20"/>
      <c r="B556" s="31"/>
      <c r="C556" s="30"/>
      <c r="D556" s="23"/>
      <c r="E556" s="23"/>
      <c r="F556" s="23"/>
      <c r="G556" s="23" t="s">
        <v>332</v>
      </c>
      <c r="H556" s="23"/>
      <c r="I556" s="23"/>
      <c r="J556" s="23"/>
      <c r="K556" s="23"/>
      <c r="L556" s="23"/>
      <c r="M556" s="23"/>
      <c r="N556" s="23" t="s">
        <v>121</v>
      </c>
      <c r="O556" s="23" t="s">
        <v>274</v>
      </c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  <c r="AZ556" s="29"/>
      <c r="BA556" s="23"/>
      <c r="BB556" s="23"/>
      <c r="BC556" s="29"/>
      <c r="BD556" s="29"/>
      <c r="BE556" s="29"/>
      <c r="BF556" s="29"/>
      <c r="BG556" s="29"/>
      <c r="BH556" s="29"/>
      <c r="BI556" s="29"/>
      <c r="BJ556" s="29"/>
      <c r="BK556" s="29"/>
      <c r="BL556" s="29"/>
      <c r="BM556" s="29"/>
      <c r="BN556" s="29"/>
      <c r="BO556" s="29"/>
      <c r="BP556" s="23"/>
      <c r="BQ556" s="23"/>
      <c r="BR556" s="23"/>
      <c r="BS556" s="23"/>
      <c r="BT556" s="23"/>
      <c r="BU556" s="23"/>
      <c r="BV556" s="23"/>
      <c r="BW556" s="23"/>
      <c r="BX556" s="23"/>
      <c r="BY556" s="23"/>
      <c r="BZ556" s="23"/>
      <c r="CA556" s="23"/>
      <c r="CB556" s="23"/>
      <c r="CC556" s="23"/>
      <c r="CD556" s="23"/>
      <c r="CE556" s="23"/>
      <c r="CF556" s="23"/>
      <c r="CG556" s="23"/>
      <c r="CH556" s="27"/>
      <c r="CI556" s="27"/>
      <c r="CJ556" s="27"/>
      <c r="CK556" s="28"/>
      <c r="CL556" s="39"/>
    </row>
    <row r="557" spans="1:90" ht="16.5" customHeight="1" x14ac:dyDescent="0.2">
      <c r="A557" s="20"/>
      <c r="B557" s="31"/>
      <c r="C557" s="30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 t="s">
        <v>96</v>
      </c>
      <c r="O557" s="23" t="str">
        <f>TEXT(TRUNC(AL554,1),"#,##0.#")</f>
        <v>10,826.4</v>
      </c>
      <c r="P557" s="23"/>
      <c r="Q557" s="23"/>
      <c r="R557" s="23"/>
      <c r="S557" s="23"/>
      <c r="T557" s="23" t="s">
        <v>97</v>
      </c>
      <c r="U557" s="23"/>
      <c r="V557" s="23"/>
      <c r="W557" s="23" t="str">
        <f>TEXT(TRUNC(AL555,1),"#,##0.#")</f>
        <v>2,765.8</v>
      </c>
      <c r="X557" s="23"/>
      <c r="Y557" s="23"/>
      <c r="Z557" s="34"/>
      <c r="AA557" s="34"/>
      <c r="AB557" s="23" t="s">
        <v>101</v>
      </c>
      <c r="AC557" s="23"/>
      <c r="AD557" s="23" t="s">
        <v>102</v>
      </c>
      <c r="AE557" s="23"/>
      <c r="AF557" s="23"/>
      <c r="AG557" s="23" t="str">
        <f>TEXT(0.02,"#,##0.#######")</f>
        <v>0.02</v>
      </c>
      <c r="AH557" s="23"/>
      <c r="AI557" s="23"/>
      <c r="AJ557" s="23"/>
      <c r="AK557" s="23" t="s">
        <v>103</v>
      </c>
      <c r="AL557" s="23"/>
      <c r="AM557" s="23"/>
      <c r="AN557" s="23" t="str">
        <f>TEXT(TRUNC((O557+W557)*AG557,1),"#,##0.#")</f>
        <v>271.8</v>
      </c>
      <c r="AO557" s="23"/>
      <c r="AP557" s="23"/>
      <c r="AQ557" s="23"/>
      <c r="AR557" s="23" t="s">
        <v>288</v>
      </c>
      <c r="AS557" s="23"/>
      <c r="AT557" s="23"/>
      <c r="AU557" s="23"/>
      <c r="AV557" s="23"/>
      <c r="AW557" s="23"/>
      <c r="AX557" s="23"/>
      <c r="AY557" s="23"/>
      <c r="AZ557" s="23"/>
      <c r="BA557" s="23"/>
      <c r="BB557" s="23"/>
      <c r="BC557" s="23"/>
      <c r="BD557" s="23"/>
      <c r="BE557" s="23"/>
      <c r="BF557" s="23"/>
      <c r="BG557" s="23"/>
      <c r="BH557" s="23"/>
      <c r="BI557" s="23"/>
      <c r="BJ557" s="23"/>
      <c r="BK557" s="23"/>
      <c r="BL557" s="23"/>
      <c r="BM557" s="23"/>
      <c r="BN557" s="23"/>
      <c r="BO557" s="23"/>
      <c r="BP557" s="23"/>
      <c r="BQ557" s="23"/>
      <c r="BR557" s="23"/>
      <c r="BS557" s="23"/>
      <c r="BT557" s="23"/>
      <c r="BU557" s="23"/>
      <c r="BV557" s="23"/>
      <c r="BW557" s="23"/>
      <c r="BX557" s="23"/>
      <c r="BY557" s="23"/>
      <c r="BZ557" s="23"/>
      <c r="CA557" s="23"/>
      <c r="CB557" s="23"/>
      <c r="CC557" s="23"/>
      <c r="CD557" s="23"/>
      <c r="CE557" s="23"/>
      <c r="CF557" s="23"/>
      <c r="CG557" s="23"/>
      <c r="CH557" s="27"/>
      <c r="CI557" s="27"/>
      <c r="CJ557" s="27"/>
      <c r="CK557" s="28" t="str">
        <f>AN557</f>
        <v>271.8</v>
      </c>
      <c r="CL557" s="39"/>
    </row>
    <row r="558" spans="1:90" ht="16.5" customHeight="1" x14ac:dyDescent="0.25">
      <c r="A558" s="20"/>
      <c r="B558" s="31"/>
      <c r="C558" s="30"/>
      <c r="D558" s="23"/>
      <c r="E558" s="23"/>
      <c r="F558" s="23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  <c r="AQ558" s="29"/>
      <c r="AR558" s="29"/>
      <c r="AS558" s="29"/>
      <c r="AT558" s="29"/>
      <c r="AU558" s="29"/>
      <c r="AV558" s="29"/>
      <c r="AW558" s="23"/>
      <c r="AX558" s="23"/>
      <c r="AY558" s="23"/>
      <c r="AZ558" s="23"/>
      <c r="BA558" s="23"/>
      <c r="BB558" s="23"/>
      <c r="BC558" s="23"/>
      <c r="BD558" s="23"/>
      <c r="BE558" s="23"/>
      <c r="BF558" s="23"/>
      <c r="BG558" s="23"/>
      <c r="BH558" s="23"/>
      <c r="BI558" s="23"/>
      <c r="BJ558" s="23"/>
      <c r="BK558" s="23"/>
      <c r="BL558" s="23"/>
      <c r="BM558" s="23"/>
      <c r="BN558" s="23"/>
      <c r="BO558" s="23"/>
      <c r="BP558" s="23"/>
      <c r="BQ558" s="23"/>
      <c r="BR558" s="23"/>
      <c r="BS558" s="23"/>
      <c r="BT558" s="23"/>
      <c r="BU558" s="23"/>
      <c r="BV558" s="23"/>
      <c r="BW558" s="23"/>
      <c r="BX558" s="23"/>
      <c r="BY558" s="29"/>
      <c r="BZ558" s="29"/>
      <c r="CA558" s="29"/>
      <c r="CB558" s="29"/>
      <c r="CC558" s="23"/>
      <c r="CD558" s="23"/>
      <c r="CE558" s="23"/>
      <c r="CF558" s="23"/>
      <c r="CG558" s="23"/>
      <c r="CH558" s="27"/>
      <c r="CI558" s="27"/>
      <c r="CJ558" s="27"/>
      <c r="CK558" s="28"/>
      <c r="CL558" s="39"/>
    </row>
    <row r="559" spans="1:90" ht="16.5" customHeight="1" x14ac:dyDescent="0.25">
      <c r="A559" s="20"/>
      <c r="B559" s="31"/>
      <c r="C559" s="30"/>
      <c r="D559" s="23" t="s">
        <v>168</v>
      </c>
      <c r="E559" s="23"/>
      <c r="F559" s="23"/>
      <c r="G559" s="23" t="s">
        <v>323</v>
      </c>
      <c r="H559" s="23"/>
      <c r="I559" s="23"/>
      <c r="J559" s="23"/>
      <c r="K559" s="23" t="s">
        <v>127</v>
      </c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  <c r="AZ559" s="23"/>
      <c r="BA559" s="23"/>
      <c r="BB559" s="23"/>
      <c r="BC559" s="23"/>
      <c r="BD559" s="23"/>
      <c r="BE559" s="23"/>
      <c r="BF559" s="23"/>
      <c r="BG559" s="23"/>
      <c r="BH559" s="23"/>
      <c r="BI559" s="23"/>
      <c r="BJ559" s="23"/>
      <c r="BK559" s="23"/>
      <c r="BL559" s="23"/>
      <c r="BM559" s="23"/>
      <c r="BN559" s="23"/>
      <c r="BO559" s="23"/>
      <c r="BP559" s="23"/>
      <c r="BQ559" s="23"/>
      <c r="BR559" s="23"/>
      <c r="BS559" s="23"/>
      <c r="BT559" s="23"/>
      <c r="BU559" s="23"/>
      <c r="BV559" s="23"/>
      <c r="BW559" s="23"/>
      <c r="BX559" s="23"/>
      <c r="BY559" s="29"/>
      <c r="BZ559" s="29"/>
      <c r="CA559" s="29"/>
      <c r="CB559" s="29"/>
      <c r="CC559" s="23"/>
      <c r="CD559" s="23"/>
      <c r="CE559" s="23"/>
      <c r="CF559" s="23"/>
      <c r="CG559" s="23"/>
      <c r="CH559" s="27"/>
      <c r="CI559" s="27"/>
      <c r="CJ559" s="27"/>
      <c r="CK559" s="28"/>
      <c r="CL559" s="39"/>
    </row>
    <row r="560" spans="1:90" ht="16.5" customHeight="1" x14ac:dyDescent="0.25">
      <c r="A560" s="20"/>
      <c r="B560" s="31"/>
      <c r="C560" s="30"/>
      <c r="D560" s="23"/>
      <c r="E560" s="23"/>
      <c r="F560" s="23"/>
      <c r="G560" s="23"/>
      <c r="H560" s="23" t="s">
        <v>120</v>
      </c>
      <c r="I560" s="23"/>
      <c r="J560" s="23"/>
      <c r="K560" s="23"/>
      <c r="L560" s="23"/>
      <c r="M560" s="23"/>
      <c r="N560" s="23"/>
      <c r="O560" s="23" t="s">
        <v>121</v>
      </c>
      <c r="P560" s="23"/>
      <c r="Q560" s="23" t="str">
        <f>AL554</f>
        <v>10,826.4</v>
      </c>
      <c r="R560" s="23"/>
      <c r="S560" s="23"/>
      <c r="T560" s="23"/>
      <c r="U560" s="23"/>
      <c r="V560" s="23"/>
      <c r="W560" s="23"/>
      <c r="X560" s="23"/>
      <c r="Y560" s="23"/>
      <c r="Z560" s="23" t="s">
        <v>97</v>
      </c>
      <c r="AA560" s="23"/>
      <c r="AB560" s="23" t="str">
        <f>AL555</f>
        <v>2,765.8</v>
      </c>
      <c r="AC560" s="23"/>
      <c r="AD560" s="23"/>
      <c r="AE560" s="23"/>
      <c r="AF560" s="23"/>
      <c r="AG560" s="23"/>
      <c r="AH560" s="23" t="s">
        <v>103</v>
      </c>
      <c r="AI560" s="23"/>
      <c r="AJ560" s="23"/>
      <c r="AK560" s="23" t="str">
        <f>TEXT(TRUNC(Q560+AB560,0),"#,##0")</f>
        <v>13,592</v>
      </c>
      <c r="AL560" s="23"/>
      <c r="AM560" s="23"/>
      <c r="AN560" s="23"/>
      <c r="AO560" s="23"/>
      <c r="AP560" s="29"/>
      <c r="AQ560" s="29"/>
      <c r="AR560" s="29"/>
      <c r="AS560" s="29"/>
      <c r="AT560" s="29"/>
      <c r="AU560" s="29"/>
      <c r="AV560" s="29"/>
      <c r="AW560" s="29"/>
      <c r="AX560" s="29"/>
      <c r="AY560" s="29"/>
      <c r="AZ560" s="29"/>
      <c r="BA560" s="23"/>
      <c r="BB560" s="23"/>
      <c r="BC560" s="23"/>
      <c r="BD560" s="23"/>
      <c r="BE560" s="23"/>
      <c r="BF560" s="23"/>
      <c r="BG560" s="23"/>
      <c r="BH560" s="23"/>
      <c r="BI560" s="23"/>
      <c r="BJ560" s="23"/>
      <c r="BK560" s="23"/>
      <c r="BL560" s="23"/>
      <c r="BM560" s="23"/>
      <c r="BN560" s="23"/>
      <c r="BO560" s="23"/>
      <c r="BP560" s="23"/>
      <c r="BQ560" s="23"/>
      <c r="BR560" s="23"/>
      <c r="BS560" s="23"/>
      <c r="BT560" s="23"/>
      <c r="BU560" s="23"/>
      <c r="BV560" s="23"/>
      <c r="BW560" s="23"/>
      <c r="BX560" s="23"/>
      <c r="BY560" s="29"/>
      <c r="BZ560" s="29"/>
      <c r="CA560" s="29"/>
      <c r="CB560" s="29"/>
      <c r="CC560" s="23"/>
      <c r="CD560" s="23"/>
      <c r="CE560" s="23"/>
      <c r="CF560" s="23"/>
      <c r="CG560" s="23"/>
      <c r="CH560" s="27"/>
      <c r="CI560" s="27"/>
      <c r="CJ560" s="27"/>
      <c r="CK560" s="28"/>
      <c r="CL560" s="39"/>
    </row>
    <row r="561" spans="1:90" ht="16.5" customHeight="1" x14ac:dyDescent="0.25">
      <c r="A561" s="20"/>
      <c r="B561" s="31"/>
      <c r="C561" s="30"/>
      <c r="D561" s="23"/>
      <c r="E561" s="23"/>
      <c r="F561" s="23"/>
      <c r="G561" s="23"/>
      <c r="H561" s="23" t="s">
        <v>123</v>
      </c>
      <c r="I561" s="23"/>
      <c r="J561" s="23"/>
      <c r="K561" s="23"/>
      <c r="L561" s="23"/>
      <c r="M561" s="23"/>
      <c r="N561" s="23"/>
      <c r="O561" s="23" t="s">
        <v>121</v>
      </c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9"/>
      <c r="AL561" s="23"/>
      <c r="AM561" s="23"/>
      <c r="AN561" s="23"/>
      <c r="AO561" s="23"/>
      <c r="AP561" s="23"/>
      <c r="AQ561" s="29"/>
      <c r="AR561" s="29"/>
      <c r="AS561" s="29"/>
      <c r="AT561" s="29"/>
      <c r="AU561" s="29"/>
      <c r="AV561" s="29"/>
      <c r="AW561" s="29"/>
      <c r="AX561" s="29"/>
      <c r="AY561" s="29"/>
      <c r="AZ561" s="29"/>
      <c r="BA561" s="23"/>
      <c r="BB561" s="23"/>
      <c r="BC561" s="23"/>
      <c r="BD561" s="23"/>
      <c r="BE561" s="23"/>
      <c r="BF561" s="23"/>
      <c r="BG561" s="23"/>
      <c r="BH561" s="23"/>
      <c r="BI561" s="23"/>
      <c r="BJ561" s="23"/>
      <c r="BK561" s="23"/>
      <c r="BL561" s="23"/>
      <c r="BM561" s="23"/>
      <c r="BN561" s="23"/>
      <c r="BO561" s="23"/>
      <c r="BP561" s="23"/>
      <c r="BQ561" s="23"/>
      <c r="BR561" s="23"/>
      <c r="BS561" s="23"/>
      <c r="BT561" s="23"/>
      <c r="BU561" s="23"/>
      <c r="BV561" s="23"/>
      <c r="BW561" s="23"/>
      <c r="BX561" s="23"/>
      <c r="BY561" s="29"/>
      <c r="BZ561" s="29"/>
      <c r="CA561" s="29"/>
      <c r="CB561" s="29"/>
      <c r="CC561" s="23"/>
      <c r="CD561" s="23"/>
      <c r="CE561" s="23"/>
      <c r="CF561" s="23"/>
      <c r="CG561" s="23"/>
      <c r="CH561" s="27"/>
      <c r="CI561" s="27"/>
      <c r="CJ561" s="27"/>
      <c r="CK561" s="28"/>
      <c r="CL561" s="39"/>
    </row>
    <row r="562" spans="1:90" ht="16.5" customHeight="1" x14ac:dyDescent="0.25">
      <c r="A562" s="20"/>
      <c r="B562" s="31"/>
      <c r="C562" s="30"/>
      <c r="D562" s="23"/>
      <c r="E562" s="23"/>
      <c r="F562" s="23"/>
      <c r="G562" s="23"/>
      <c r="H562" s="23" t="s">
        <v>124</v>
      </c>
      <c r="I562" s="23"/>
      <c r="J562" s="23"/>
      <c r="K562" s="23"/>
      <c r="L562" s="23" t="s">
        <v>125</v>
      </c>
      <c r="M562" s="23"/>
      <c r="N562" s="23"/>
      <c r="O562" s="23" t="s">
        <v>121</v>
      </c>
      <c r="P562" s="23"/>
      <c r="Q562" s="23" t="str">
        <f>AN557</f>
        <v>271.8</v>
      </c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 t="s">
        <v>103</v>
      </c>
      <c r="AI562" s="23"/>
      <c r="AJ562" s="23"/>
      <c r="AK562" s="23" t="str">
        <f>TEXT(TRUNC(Q562,0),"#,##0")</f>
        <v>271</v>
      </c>
      <c r="AL562" s="23"/>
      <c r="AM562" s="23"/>
      <c r="AN562" s="23"/>
      <c r="AO562" s="23"/>
      <c r="AP562" s="23"/>
      <c r="AQ562" s="23"/>
      <c r="AR562" s="23"/>
      <c r="AS562" s="29"/>
      <c r="AT562" s="29"/>
      <c r="AU562" s="29"/>
      <c r="AV562" s="29"/>
      <c r="AW562" s="29"/>
      <c r="AX562" s="29"/>
      <c r="AY562" s="29"/>
      <c r="AZ562" s="29"/>
      <c r="BA562" s="23"/>
      <c r="BB562" s="23"/>
      <c r="BC562" s="23"/>
      <c r="BD562" s="23"/>
      <c r="BE562" s="23"/>
      <c r="BF562" s="23"/>
      <c r="BG562" s="23"/>
      <c r="BH562" s="29"/>
      <c r="BI562" s="29"/>
      <c r="BJ562" s="29"/>
      <c r="BK562" s="29"/>
      <c r="BL562" s="23"/>
      <c r="BM562" s="23"/>
      <c r="BN562" s="23"/>
      <c r="BO562" s="23"/>
      <c r="BP562" s="23"/>
      <c r="BQ562" s="23"/>
      <c r="BR562" s="23"/>
      <c r="BS562" s="23"/>
      <c r="BT562" s="23"/>
      <c r="BU562" s="23"/>
      <c r="BV562" s="23"/>
      <c r="BW562" s="23"/>
      <c r="BX562" s="23"/>
      <c r="BY562" s="23"/>
      <c r="BZ562" s="23"/>
      <c r="CA562" s="23"/>
      <c r="CB562" s="23"/>
      <c r="CC562" s="23"/>
      <c r="CD562" s="23"/>
      <c r="CE562" s="23"/>
      <c r="CF562" s="23"/>
      <c r="CG562" s="23"/>
      <c r="CH562" s="27"/>
      <c r="CI562" s="27"/>
      <c r="CJ562" s="27"/>
      <c r="CK562" s="28"/>
      <c r="CL562" s="39"/>
    </row>
    <row r="563" spans="1:90" ht="16.5" customHeight="1" x14ac:dyDescent="0.25">
      <c r="A563" s="20"/>
      <c r="B563" s="31"/>
      <c r="C563" s="30"/>
      <c r="D563" s="23"/>
      <c r="E563" s="23"/>
      <c r="F563" s="23"/>
      <c r="G563" s="23"/>
      <c r="H563" s="23" t="s">
        <v>126</v>
      </c>
      <c r="I563" s="23"/>
      <c r="J563" s="23"/>
      <c r="K563" s="23"/>
      <c r="L563" s="23" t="s">
        <v>127</v>
      </c>
      <c r="M563" s="23"/>
      <c r="N563" s="23"/>
      <c r="O563" s="23" t="s">
        <v>121</v>
      </c>
      <c r="P563" s="23"/>
      <c r="Q563" s="23" t="str">
        <f>TEXT(AK560+AK562,"#,##0")</f>
        <v>13,863</v>
      </c>
      <c r="R563" s="29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23"/>
      <c r="BC563" s="23"/>
      <c r="BD563" s="23"/>
      <c r="BE563" s="23"/>
      <c r="BF563" s="23"/>
      <c r="BG563" s="23"/>
      <c r="BH563" s="23"/>
      <c r="BI563" s="23"/>
      <c r="BJ563" s="23"/>
      <c r="BK563" s="23"/>
      <c r="BL563" s="23"/>
      <c r="BM563" s="23"/>
      <c r="BN563" s="23"/>
      <c r="BO563" s="23"/>
      <c r="BP563" s="23"/>
      <c r="BQ563" s="23"/>
      <c r="BR563" s="23"/>
      <c r="BS563" s="23"/>
      <c r="BT563" s="23"/>
      <c r="BU563" s="23"/>
      <c r="BV563" s="23"/>
      <c r="BW563" s="23"/>
      <c r="BX563" s="23"/>
      <c r="BY563" s="23"/>
      <c r="BZ563" s="23"/>
      <c r="CA563" s="23"/>
      <c r="CB563" s="23"/>
      <c r="CC563" s="23"/>
      <c r="CD563" s="23"/>
      <c r="CE563" s="23"/>
      <c r="CF563" s="23"/>
      <c r="CG563" s="23"/>
      <c r="CH563" s="27">
        <f>CI563+CJ563+CK563</f>
        <v>13863</v>
      </c>
      <c r="CI563" s="27" t="str">
        <f>AK560</f>
        <v>13,592</v>
      </c>
      <c r="CJ563" s="27"/>
      <c r="CK563" s="28" t="str">
        <f>AK562</f>
        <v>271</v>
      </c>
      <c r="CL563" s="39"/>
    </row>
    <row r="564" spans="1:90" ht="16.5" customHeight="1" x14ac:dyDescent="0.25">
      <c r="A564" s="20"/>
      <c r="B564" s="31"/>
      <c r="C564" s="30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  <c r="AQ564" s="29"/>
      <c r="AR564" s="29"/>
      <c r="AS564" s="29"/>
      <c r="AT564" s="29"/>
      <c r="AU564" s="29"/>
      <c r="AV564" s="29"/>
      <c r="AW564" s="29"/>
      <c r="AX564" s="29"/>
      <c r="AY564" s="29"/>
      <c r="AZ564" s="29"/>
      <c r="BA564" s="29"/>
      <c r="BB564" s="29"/>
      <c r="BC564" s="29"/>
      <c r="BD564" s="29"/>
      <c r="BE564" s="29"/>
      <c r="BF564" s="29"/>
      <c r="BG564" s="29"/>
      <c r="BH564" s="23"/>
      <c r="BI564" s="23"/>
      <c r="BJ564" s="23"/>
      <c r="BK564" s="23"/>
      <c r="BL564" s="23"/>
      <c r="BM564" s="23"/>
      <c r="BN564" s="23"/>
      <c r="BO564" s="23"/>
      <c r="BP564" s="23"/>
      <c r="BQ564" s="23"/>
      <c r="BR564" s="23"/>
      <c r="BS564" s="23"/>
      <c r="BT564" s="23"/>
      <c r="BU564" s="23"/>
      <c r="BV564" s="23"/>
      <c r="BW564" s="23"/>
      <c r="BX564" s="23"/>
      <c r="BY564" s="23"/>
      <c r="BZ564" s="23"/>
      <c r="CA564" s="23"/>
      <c r="CB564" s="23"/>
      <c r="CC564" s="23"/>
      <c r="CD564" s="23"/>
      <c r="CE564" s="23"/>
      <c r="CF564" s="23"/>
      <c r="CG564" s="23"/>
      <c r="CH564" s="27"/>
      <c r="CI564" s="27"/>
      <c r="CJ564" s="27"/>
      <c r="CK564" s="28"/>
      <c r="CL564" s="39"/>
    </row>
    <row r="565" spans="1:90" ht="16.5" customHeight="1" x14ac:dyDescent="0.2">
      <c r="A565" s="20"/>
      <c r="B565" s="46" t="s">
        <v>333</v>
      </c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  <c r="AA565" s="47"/>
      <c r="AB565" s="47"/>
      <c r="AC565" s="47"/>
      <c r="AD565" s="47"/>
      <c r="AE565" s="47"/>
      <c r="AF565" s="47"/>
      <c r="AG565" s="47"/>
      <c r="AH565" s="47"/>
      <c r="AI565" s="47"/>
      <c r="AJ565" s="47"/>
      <c r="AK565" s="47"/>
      <c r="AL565" s="47"/>
      <c r="AM565" s="47"/>
      <c r="AN565" s="47"/>
      <c r="AO565" s="47"/>
      <c r="AP565" s="47"/>
      <c r="AQ565" s="47"/>
      <c r="AR565" s="47"/>
      <c r="AS565" s="47"/>
      <c r="AT565" s="47"/>
      <c r="AU565" s="47"/>
      <c r="AV565" s="47"/>
      <c r="AW565" s="47"/>
      <c r="AX565" s="47"/>
      <c r="AY565" s="47"/>
      <c r="AZ565" s="47"/>
      <c r="BA565" s="47"/>
      <c r="BB565" s="47"/>
      <c r="BC565" s="47"/>
      <c r="BD565" s="47"/>
      <c r="BE565" s="47"/>
      <c r="BF565" s="47"/>
      <c r="BG565" s="47"/>
      <c r="BH565" s="47"/>
      <c r="BI565" s="47"/>
      <c r="BJ565" s="47"/>
      <c r="BK565" s="47"/>
      <c r="BL565" s="47"/>
      <c r="BM565" s="47"/>
      <c r="BN565" s="47"/>
      <c r="BO565" s="47"/>
      <c r="BP565" s="47"/>
      <c r="BQ565" s="47"/>
      <c r="BR565" s="47"/>
      <c r="BS565" s="47"/>
      <c r="BT565" s="47"/>
      <c r="BU565" s="47"/>
      <c r="BV565" s="47"/>
      <c r="BW565" s="47"/>
      <c r="BX565" s="47"/>
      <c r="BY565" s="47"/>
      <c r="BZ565" s="47"/>
      <c r="CA565" s="47"/>
      <c r="CB565" s="47"/>
      <c r="CC565" s="47"/>
      <c r="CD565" s="47"/>
      <c r="CE565" s="47"/>
      <c r="CF565" s="47"/>
      <c r="CG565" s="47"/>
      <c r="CH565" s="48">
        <f>TRUNC(CI565+CJ565+CK565,0)</f>
        <v>87573</v>
      </c>
      <c r="CI565" s="48">
        <f>TRUNC(CI573+CI574,0)</f>
        <v>69032</v>
      </c>
      <c r="CJ565" s="49">
        <f>TRUNC(CJ568+CJ569+CJ571,0)</f>
        <v>17851</v>
      </c>
      <c r="CK565" s="49">
        <f>TRUNC(CK576,0)</f>
        <v>690</v>
      </c>
      <c r="CL565" s="97">
        <v>631</v>
      </c>
    </row>
    <row r="566" spans="1:90" ht="16.5" customHeight="1" x14ac:dyDescent="0.25">
      <c r="A566" s="20"/>
      <c r="B566" s="31"/>
      <c r="C566" s="29"/>
      <c r="D566" s="23" t="s">
        <v>334</v>
      </c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  <c r="AQ566" s="29"/>
      <c r="AR566" s="29"/>
      <c r="AS566" s="29"/>
      <c r="AT566" s="29"/>
      <c r="AU566" s="29"/>
      <c r="AV566" s="29"/>
      <c r="AW566" s="29"/>
      <c r="AX566" s="29"/>
      <c r="AY566" s="29"/>
      <c r="AZ566" s="29"/>
      <c r="BA566" s="29"/>
      <c r="BB566" s="29"/>
      <c r="BC566" s="29"/>
      <c r="BD566" s="29"/>
      <c r="BE566" s="29"/>
      <c r="BF566" s="29"/>
      <c r="BG566" s="29"/>
      <c r="BH566" s="29"/>
      <c r="BI566" s="29"/>
      <c r="BJ566" s="29"/>
      <c r="BK566" s="29"/>
      <c r="BL566" s="29"/>
      <c r="BM566" s="29"/>
      <c r="BN566" s="29"/>
      <c r="BO566" s="29"/>
      <c r="BP566" s="29"/>
      <c r="BQ566" s="29"/>
      <c r="BR566" s="29"/>
      <c r="BS566" s="29"/>
      <c r="BT566" s="29"/>
      <c r="BU566" s="29"/>
      <c r="BV566" s="29"/>
      <c r="BW566" s="29"/>
      <c r="BX566" s="29"/>
      <c r="BY566" s="29"/>
      <c r="BZ566" s="29"/>
      <c r="CA566" s="29"/>
      <c r="CB566" s="29"/>
      <c r="CC566" s="29"/>
      <c r="CD566" s="29"/>
      <c r="CE566" s="29"/>
      <c r="CF566" s="29"/>
      <c r="CG566" s="29"/>
      <c r="CH566" s="27"/>
      <c r="CI566" s="27"/>
      <c r="CJ566" s="27"/>
      <c r="CK566" s="28"/>
      <c r="CL566" s="39" t="s">
        <v>335</v>
      </c>
    </row>
    <row r="567" spans="1:90" ht="16.5" customHeight="1" x14ac:dyDescent="0.2">
      <c r="A567" s="20"/>
      <c r="B567" s="31"/>
      <c r="C567" s="30"/>
      <c r="D567" s="23" t="s">
        <v>94</v>
      </c>
      <c r="E567" s="23"/>
      <c r="F567" s="23"/>
      <c r="G567" s="23" t="s">
        <v>123</v>
      </c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  <c r="AY567" s="23"/>
      <c r="AZ567" s="23"/>
      <c r="BA567" s="23"/>
      <c r="BB567" s="23"/>
      <c r="BC567" s="23"/>
      <c r="BD567" s="23"/>
      <c r="BE567" s="23"/>
      <c r="BF567" s="23"/>
      <c r="BG567" s="23"/>
      <c r="BH567" s="23"/>
      <c r="BI567" s="23"/>
      <c r="BJ567" s="23"/>
      <c r="BK567" s="23"/>
      <c r="BL567" s="23"/>
      <c r="BM567" s="23"/>
      <c r="BN567" s="23"/>
      <c r="BO567" s="23"/>
      <c r="BP567" s="23"/>
      <c r="BQ567" s="23"/>
      <c r="BR567" s="23"/>
      <c r="BS567" s="23"/>
      <c r="BT567" s="23"/>
      <c r="BU567" s="23"/>
      <c r="BV567" s="23"/>
      <c r="BW567" s="23"/>
      <c r="BX567" s="23"/>
      <c r="BY567" s="23"/>
      <c r="BZ567" s="23"/>
      <c r="CA567" s="23"/>
      <c r="CB567" s="23"/>
      <c r="CC567" s="23"/>
      <c r="CD567" s="23"/>
      <c r="CE567" s="23"/>
      <c r="CF567" s="23"/>
      <c r="CG567" s="23"/>
      <c r="CH567" s="27"/>
      <c r="CI567" s="27"/>
      <c r="CJ567" s="27"/>
      <c r="CK567" s="28"/>
      <c r="CL567" s="39"/>
    </row>
    <row r="568" spans="1:90" ht="16.5" customHeight="1" x14ac:dyDescent="0.25">
      <c r="A568" s="20"/>
      <c r="B568" s="31"/>
      <c r="C568" s="30"/>
      <c r="D568" s="23"/>
      <c r="E568" s="23"/>
      <c r="F568" s="23"/>
      <c r="G568" s="23" t="s">
        <v>336</v>
      </c>
      <c r="H568" s="23"/>
      <c r="I568" s="23"/>
      <c r="J568" s="23"/>
      <c r="K568" s="23"/>
      <c r="L568" s="23"/>
      <c r="M568" s="23"/>
      <c r="N568" s="23" t="s">
        <v>121</v>
      </c>
      <c r="O568" s="23"/>
      <c r="P568" s="23" t="str">
        <f>TEXT([1]자재단가!M92,"#,##0.#######")</f>
        <v>5,555.</v>
      </c>
      <c r="Q568" s="23"/>
      <c r="R568" s="23"/>
      <c r="S568" s="23"/>
      <c r="T568" s="23"/>
      <c r="U568" s="23"/>
      <c r="V568" s="23" t="s">
        <v>102</v>
      </c>
      <c r="W568" s="23"/>
      <c r="X568" s="23"/>
      <c r="Y568" s="23" t="str">
        <f>TEXT(1.03,"#,##0.#######")</f>
        <v>1.03</v>
      </c>
      <c r="Z568" s="23"/>
      <c r="AA568" s="23"/>
      <c r="AB568" s="23" t="s">
        <v>270</v>
      </c>
      <c r="AC568" s="23"/>
      <c r="AD568" s="23"/>
      <c r="AE568" s="23"/>
      <c r="AF568" s="23"/>
      <c r="AG568" s="23" t="s">
        <v>103</v>
      </c>
      <c r="AH568" s="23"/>
      <c r="AI568" s="23" t="str">
        <f>TEXT(TRUNC(P568*Y568,1),"#,##0.#")</f>
        <v>5,721.6</v>
      </c>
      <c r="AJ568" s="23"/>
      <c r="AK568" s="23"/>
      <c r="AL568" s="23"/>
      <c r="AM568" s="23"/>
      <c r="AN568" s="23"/>
      <c r="AO568" s="23" t="s">
        <v>288</v>
      </c>
      <c r="AP568" s="29"/>
      <c r="AQ568" s="29"/>
      <c r="AR568" s="29"/>
      <c r="AS568" s="29"/>
      <c r="AT568" s="29"/>
      <c r="AU568" s="29"/>
      <c r="AV568" s="29"/>
      <c r="AW568" s="29"/>
      <c r="AX568" s="29"/>
      <c r="AY568" s="29"/>
      <c r="AZ568" s="29"/>
      <c r="BA568" s="29"/>
      <c r="BB568" s="29"/>
      <c r="BC568" s="29"/>
      <c r="BD568" s="29"/>
      <c r="BE568" s="29"/>
      <c r="BF568" s="29"/>
      <c r="BG568" s="29"/>
      <c r="BH568" s="29"/>
      <c r="BI568" s="29"/>
      <c r="BJ568" s="29"/>
      <c r="BK568" s="29"/>
      <c r="BL568" s="29"/>
      <c r="BM568" s="29"/>
      <c r="BN568" s="29"/>
      <c r="BO568" s="29"/>
      <c r="BP568" s="29"/>
      <c r="BQ568" s="29"/>
      <c r="BR568" s="29"/>
      <c r="BS568" s="29"/>
      <c r="BT568" s="29"/>
      <c r="BU568" s="29"/>
      <c r="BV568" s="23"/>
      <c r="BW568" s="23"/>
      <c r="BX568" s="23"/>
      <c r="BY568" s="23"/>
      <c r="BZ568" s="23"/>
      <c r="CA568" s="23"/>
      <c r="CB568" s="23"/>
      <c r="CC568" s="23"/>
      <c r="CD568" s="23"/>
      <c r="CE568" s="23"/>
      <c r="CF568" s="23"/>
      <c r="CG568" s="23"/>
      <c r="CH568" s="27"/>
      <c r="CI568" s="27"/>
      <c r="CJ568" s="27" t="str">
        <f>AI568</f>
        <v>5,721.6</v>
      </c>
      <c r="CK568" s="28"/>
      <c r="CL568" s="39"/>
    </row>
    <row r="569" spans="1:90" ht="16.5" customHeight="1" x14ac:dyDescent="0.25">
      <c r="A569" s="20"/>
      <c r="B569" s="31"/>
      <c r="C569" s="30"/>
      <c r="D569" s="23"/>
      <c r="E569" s="23"/>
      <c r="F569" s="23"/>
      <c r="G569" s="23" t="s">
        <v>337</v>
      </c>
      <c r="H569" s="23"/>
      <c r="I569" s="23"/>
      <c r="J569" s="23"/>
      <c r="K569" s="23"/>
      <c r="L569" s="23"/>
      <c r="M569" s="23"/>
      <c r="N569" s="23" t="s">
        <v>121</v>
      </c>
      <c r="O569" s="23"/>
      <c r="P569" s="23" t="str">
        <f>TEXT([1]자재단가!M93,"#,##0.#######")</f>
        <v>301,140.</v>
      </c>
      <c r="Q569" s="23"/>
      <c r="R569" s="23"/>
      <c r="S569" s="23"/>
      <c r="T569" s="23"/>
      <c r="U569" s="23"/>
      <c r="V569" s="23" t="s">
        <v>102</v>
      </c>
      <c r="W569" s="23"/>
      <c r="X569" s="23"/>
      <c r="Y569" s="23" t="str">
        <f>TEXT(0.038,"#,##0.#######")</f>
        <v>0.038</v>
      </c>
      <c r="Z569" s="23"/>
      <c r="AA569" s="23"/>
      <c r="AB569" s="29"/>
      <c r="AC569" s="23" t="s">
        <v>327</v>
      </c>
      <c r="AD569" s="23"/>
      <c r="AE569" s="23"/>
      <c r="AF569" s="23"/>
      <c r="AG569" s="23" t="s">
        <v>103</v>
      </c>
      <c r="AH569" s="23"/>
      <c r="AI569" s="23" t="str">
        <f>TEXT(TRUNC(P569*Y569,1),"#,##0.#")</f>
        <v>11,443.3</v>
      </c>
      <c r="AJ569" s="23"/>
      <c r="AK569" s="23"/>
      <c r="AL569" s="23"/>
      <c r="AM569" s="23"/>
      <c r="AN569" s="23"/>
      <c r="AO569" s="23" t="s">
        <v>288</v>
      </c>
      <c r="AP569" s="29"/>
      <c r="AQ569" s="29"/>
      <c r="AR569" s="29"/>
      <c r="AS569" s="29"/>
      <c r="AT569" s="29"/>
      <c r="AU569" s="29"/>
      <c r="AV569" s="29"/>
      <c r="AW569" s="29"/>
      <c r="AX569" s="29"/>
      <c r="AY569" s="29"/>
      <c r="AZ569" s="29"/>
      <c r="BA569" s="29"/>
      <c r="BB569" s="29"/>
      <c r="BC569" s="29"/>
      <c r="BD569" s="29"/>
      <c r="BE569" s="29"/>
      <c r="BF569" s="29"/>
      <c r="BG569" s="29"/>
      <c r="BH569" s="29"/>
      <c r="BI569" s="29"/>
      <c r="BJ569" s="29"/>
      <c r="BK569" s="29"/>
      <c r="BL569" s="29"/>
      <c r="BM569" s="29"/>
      <c r="BN569" s="29"/>
      <c r="BO569" s="29"/>
      <c r="BP569" s="29"/>
      <c r="BQ569" s="29"/>
      <c r="BR569" s="29"/>
      <c r="BS569" s="29"/>
      <c r="BT569" s="29"/>
      <c r="BU569" s="29"/>
      <c r="BV569" s="23"/>
      <c r="BW569" s="23"/>
      <c r="BX569" s="23"/>
      <c r="BY569" s="23"/>
      <c r="BZ569" s="23"/>
      <c r="CA569" s="23"/>
      <c r="CB569" s="23"/>
      <c r="CC569" s="23"/>
      <c r="CD569" s="23"/>
      <c r="CE569" s="23"/>
      <c r="CF569" s="23"/>
      <c r="CG569" s="23"/>
      <c r="CH569" s="27"/>
      <c r="CI569" s="27"/>
      <c r="CJ569" s="27" t="str">
        <f>AI569</f>
        <v>11,443.3</v>
      </c>
      <c r="CK569" s="28"/>
      <c r="CL569" s="39"/>
    </row>
    <row r="570" spans="1:90" ht="16.5" customHeight="1" x14ac:dyDescent="0.25">
      <c r="A570" s="20"/>
      <c r="B570" s="31"/>
      <c r="C570" s="30"/>
      <c r="D570" s="23"/>
      <c r="E570" s="23"/>
      <c r="F570" s="23"/>
      <c r="G570" s="23" t="s">
        <v>253</v>
      </c>
      <c r="H570" s="23"/>
      <c r="I570" s="23"/>
      <c r="J570" s="23"/>
      <c r="K570" s="23"/>
      <c r="L570" s="23"/>
      <c r="M570" s="23"/>
      <c r="N570" s="23" t="s">
        <v>121</v>
      </c>
      <c r="O570" s="23" t="s">
        <v>338</v>
      </c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  <c r="AZ570" s="29"/>
      <c r="BA570" s="23"/>
      <c r="BB570" s="23"/>
      <c r="BC570" s="29"/>
      <c r="BD570" s="29"/>
      <c r="BE570" s="29"/>
      <c r="BF570" s="29"/>
      <c r="BG570" s="29"/>
      <c r="BH570" s="29"/>
      <c r="BI570" s="23"/>
      <c r="BJ570" s="23"/>
      <c r="BK570" s="23"/>
      <c r="BL570" s="23"/>
      <c r="BM570" s="23"/>
      <c r="BN570" s="23"/>
      <c r="BO570" s="23"/>
      <c r="BP570" s="23"/>
      <c r="BQ570" s="23"/>
      <c r="BR570" s="29"/>
      <c r="BS570" s="29"/>
      <c r="BT570" s="29"/>
      <c r="BU570" s="29"/>
      <c r="BV570" s="23"/>
      <c r="BW570" s="23"/>
      <c r="BX570" s="23"/>
      <c r="BY570" s="23"/>
      <c r="BZ570" s="23"/>
      <c r="CA570" s="23"/>
      <c r="CB570" s="23"/>
      <c r="CC570" s="23"/>
      <c r="CD570" s="23"/>
      <c r="CE570" s="23"/>
      <c r="CF570" s="23"/>
      <c r="CG570" s="23"/>
      <c r="CH570" s="27"/>
      <c r="CI570" s="27"/>
      <c r="CJ570" s="27"/>
      <c r="CK570" s="28"/>
      <c r="CL570" s="39"/>
    </row>
    <row r="571" spans="1:90" ht="16.5" customHeight="1" x14ac:dyDescent="0.25">
      <c r="A571" s="20"/>
      <c r="B571" s="31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3" t="s">
        <v>96</v>
      </c>
      <c r="O571" s="23" t="str">
        <f>TEXT(TRUNC(AI568,1),"#,##0.#")</f>
        <v>5,721.6</v>
      </c>
      <c r="P571" s="23"/>
      <c r="Q571" s="23"/>
      <c r="R571" s="23"/>
      <c r="S571" s="23"/>
      <c r="T571" s="23" t="s">
        <v>97</v>
      </c>
      <c r="U571" s="23"/>
      <c r="V571" s="23"/>
      <c r="W571" s="23" t="str">
        <f>TEXT(TRUNC(AI569,1),"#,##0.#")</f>
        <v>11,443.3</v>
      </c>
      <c r="X571" s="23"/>
      <c r="Y571" s="23"/>
      <c r="Z571" s="34"/>
      <c r="AA571" s="34"/>
      <c r="AB571" s="23" t="s">
        <v>101</v>
      </c>
      <c r="AC571" s="23"/>
      <c r="AD571" s="23" t="s">
        <v>102</v>
      </c>
      <c r="AE571" s="23"/>
      <c r="AF571" s="23"/>
      <c r="AG571" s="23" t="str">
        <f>TEXT(0.04,"#,##0.#######")</f>
        <v>0.04</v>
      </c>
      <c r="AH571" s="23"/>
      <c r="AI571" s="23"/>
      <c r="AJ571" s="23"/>
      <c r="AK571" s="23" t="s">
        <v>103</v>
      </c>
      <c r="AL571" s="23"/>
      <c r="AM571" s="23"/>
      <c r="AN571" s="23" t="str">
        <f>TEXT(TRUNC((O571+W571)*AG571,1),"#,##0.#")</f>
        <v>686.5</v>
      </c>
      <c r="AO571" s="23"/>
      <c r="AP571" s="23"/>
      <c r="AQ571" s="23"/>
      <c r="AR571" s="23" t="s">
        <v>288</v>
      </c>
      <c r="AS571" s="23"/>
      <c r="AT571" s="23"/>
      <c r="AU571" s="23"/>
      <c r="AV571" s="23"/>
      <c r="AW571" s="23"/>
      <c r="AX571" s="23"/>
      <c r="AY571" s="23"/>
      <c r="AZ571" s="23"/>
      <c r="BA571" s="23"/>
      <c r="BB571" s="23"/>
      <c r="BC571" s="23"/>
      <c r="BD571" s="23"/>
      <c r="BE571" s="23"/>
      <c r="BF571" s="23"/>
      <c r="BG571" s="23"/>
      <c r="BH571" s="23"/>
      <c r="BI571" s="23"/>
      <c r="BJ571" s="23"/>
      <c r="BK571" s="23"/>
      <c r="BL571" s="23"/>
      <c r="BM571" s="23"/>
      <c r="BN571" s="23"/>
      <c r="BO571" s="23"/>
      <c r="BP571" s="23"/>
      <c r="BQ571" s="23"/>
      <c r="BR571" s="23"/>
      <c r="BS571" s="23"/>
      <c r="BT571" s="23"/>
      <c r="BU571" s="23"/>
      <c r="BV571" s="23"/>
      <c r="BW571" s="23"/>
      <c r="BX571" s="23"/>
      <c r="BY571" s="23"/>
      <c r="BZ571" s="23"/>
      <c r="CA571" s="23"/>
      <c r="CB571" s="23"/>
      <c r="CC571" s="23"/>
      <c r="CD571" s="23"/>
      <c r="CE571" s="23"/>
      <c r="CF571" s="23"/>
      <c r="CG571" s="23"/>
      <c r="CH571" s="27"/>
      <c r="CI571" s="27"/>
      <c r="CJ571" s="27" t="str">
        <f>AN571</f>
        <v>686.5</v>
      </c>
      <c r="CK571" s="28"/>
      <c r="CL571" s="39"/>
    </row>
    <row r="572" spans="1:90" ht="16.5" customHeight="1" x14ac:dyDescent="0.25">
      <c r="A572" s="20"/>
      <c r="B572" s="31"/>
      <c r="C572" s="30"/>
      <c r="D572" s="23" t="s">
        <v>168</v>
      </c>
      <c r="E572" s="23"/>
      <c r="F572" s="23"/>
      <c r="G572" s="23" t="s">
        <v>161</v>
      </c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  <c r="AY572" s="23"/>
      <c r="AZ572" s="23"/>
      <c r="BA572" s="29"/>
      <c r="BB572" s="29"/>
      <c r="BC572" s="29"/>
      <c r="BD572" s="29"/>
      <c r="BE572" s="29"/>
      <c r="BF572" s="29"/>
      <c r="BG572" s="29"/>
      <c r="BH572" s="29"/>
      <c r="BI572" s="29"/>
      <c r="BJ572" s="29"/>
      <c r="BK572" s="29"/>
      <c r="BL572" s="29"/>
      <c r="BM572" s="29"/>
      <c r="BN572" s="29"/>
      <c r="BO572" s="29"/>
      <c r="BP572" s="29"/>
      <c r="BQ572" s="29"/>
      <c r="BR572" s="29"/>
      <c r="BS572" s="29"/>
      <c r="BT572" s="29"/>
      <c r="BU572" s="29"/>
      <c r="BV572" s="29"/>
      <c r="BW572" s="29"/>
      <c r="BX572" s="29"/>
      <c r="BY572" s="29"/>
      <c r="BZ572" s="29"/>
      <c r="CA572" s="29"/>
      <c r="CB572" s="29"/>
      <c r="CC572" s="23"/>
      <c r="CD572" s="23"/>
      <c r="CE572" s="23"/>
      <c r="CF572" s="23"/>
      <c r="CG572" s="23"/>
      <c r="CH572" s="27"/>
      <c r="CI572" s="27"/>
      <c r="CJ572" s="27"/>
      <c r="CK572" s="28"/>
      <c r="CL572" s="39"/>
    </row>
    <row r="573" spans="1:90" ht="16.5" customHeight="1" x14ac:dyDescent="0.25">
      <c r="A573" s="20"/>
      <c r="B573" s="31"/>
      <c r="C573" s="30"/>
      <c r="D573" s="29"/>
      <c r="E573" s="29"/>
      <c r="F573" s="29"/>
      <c r="G573" s="23" t="s">
        <v>339</v>
      </c>
      <c r="H573" s="23"/>
      <c r="I573" s="23"/>
      <c r="J573" s="23"/>
      <c r="K573" s="23"/>
      <c r="L573" s="23"/>
      <c r="M573" s="23"/>
      <c r="N573" s="23" t="s">
        <v>121</v>
      </c>
      <c r="O573" s="23"/>
      <c r="P573" s="23" t="str">
        <f>TEXT([1]노임및중기단가!I16,"#,##0")</f>
        <v>215,964</v>
      </c>
      <c r="Q573" s="23"/>
      <c r="R573" s="23"/>
      <c r="S573" s="23"/>
      <c r="T573" s="23"/>
      <c r="U573" s="23"/>
      <c r="V573" s="23"/>
      <c r="W573" s="23" t="s">
        <v>102</v>
      </c>
      <c r="X573" s="23"/>
      <c r="Y573" s="23"/>
      <c r="Z573" s="23" t="str">
        <f>TEXT(0.23,"#,##0.#######")</f>
        <v>0.23</v>
      </c>
      <c r="AA573" s="23"/>
      <c r="AB573" s="23"/>
      <c r="AC573" s="23"/>
      <c r="AD573" s="23" t="s">
        <v>243</v>
      </c>
      <c r="AE573" s="23"/>
      <c r="AF573" s="23"/>
      <c r="AG573" s="23" t="s">
        <v>103</v>
      </c>
      <c r="AH573" s="23"/>
      <c r="AI573" s="23" t="str">
        <f>TEXT(TRUNC(P573*Z573,1),"#,##0.#")</f>
        <v>49,671.7</v>
      </c>
      <c r="AJ573" s="23"/>
      <c r="AK573" s="23"/>
      <c r="AL573" s="23"/>
      <c r="AM573" s="29"/>
      <c r="AN573" s="29"/>
      <c r="AO573" s="29"/>
      <c r="AP573" s="29"/>
      <c r="AQ573" s="29"/>
      <c r="AR573" s="29"/>
      <c r="AS573" s="29"/>
      <c r="AT573" s="29"/>
      <c r="AU573" s="29"/>
      <c r="AV573" s="29"/>
      <c r="AW573" s="29"/>
      <c r="AX573" s="29"/>
      <c r="AY573" s="29"/>
      <c r="AZ573" s="29"/>
      <c r="BA573" s="29"/>
      <c r="BB573" s="29"/>
      <c r="BC573" s="29"/>
      <c r="BD573" s="29"/>
      <c r="BE573" s="29"/>
      <c r="BF573" s="29"/>
      <c r="BG573" s="29"/>
      <c r="BH573" s="29"/>
      <c r="BI573" s="29"/>
      <c r="BJ573" s="29"/>
      <c r="BK573" s="29"/>
      <c r="BL573" s="29"/>
      <c r="BM573" s="29"/>
      <c r="BN573" s="29"/>
      <c r="BO573" s="29"/>
      <c r="BP573" s="29"/>
      <c r="BQ573" s="29"/>
      <c r="BR573" s="29"/>
      <c r="BS573" s="29"/>
      <c r="BT573" s="29"/>
      <c r="BU573" s="29"/>
      <c r="BV573" s="29"/>
      <c r="BW573" s="29"/>
      <c r="BX573" s="29"/>
      <c r="BY573" s="29"/>
      <c r="BZ573" s="29"/>
      <c r="CA573" s="29"/>
      <c r="CB573" s="29"/>
      <c r="CC573" s="23"/>
      <c r="CD573" s="23"/>
      <c r="CE573" s="23"/>
      <c r="CF573" s="23"/>
      <c r="CG573" s="23"/>
      <c r="CH573" s="27"/>
      <c r="CI573" s="27" t="str">
        <f>AI573</f>
        <v>49,671.7</v>
      </c>
      <c r="CJ573" s="27"/>
      <c r="CK573" s="28"/>
      <c r="CL573" s="39"/>
    </row>
    <row r="574" spans="1:90" ht="16.5" customHeight="1" x14ac:dyDescent="0.25">
      <c r="A574" s="20"/>
      <c r="B574" s="31"/>
      <c r="C574" s="30"/>
      <c r="D574" s="29"/>
      <c r="E574" s="29"/>
      <c r="F574" s="29"/>
      <c r="G574" s="23" t="s">
        <v>322</v>
      </c>
      <c r="H574" s="23"/>
      <c r="I574" s="23"/>
      <c r="J574" s="23"/>
      <c r="K574" s="23"/>
      <c r="L574" s="23"/>
      <c r="M574" s="23"/>
      <c r="N574" s="23" t="s">
        <v>121</v>
      </c>
      <c r="O574" s="23"/>
      <c r="P574" s="23" t="str">
        <f>TEXT([1]노임및중기단가!I8,"#,##0")</f>
        <v>138,290</v>
      </c>
      <c r="Q574" s="23"/>
      <c r="R574" s="23"/>
      <c r="S574" s="23"/>
      <c r="T574" s="23"/>
      <c r="U574" s="23"/>
      <c r="V574" s="23"/>
      <c r="W574" s="23" t="s">
        <v>102</v>
      </c>
      <c r="X574" s="23"/>
      <c r="Y574" s="23"/>
      <c r="Z574" s="23" t="str">
        <f>TEXT(0.14,"#,##0.#######")</f>
        <v>0.14</v>
      </c>
      <c r="AA574" s="23"/>
      <c r="AB574" s="23"/>
      <c r="AC574" s="23"/>
      <c r="AD574" s="23" t="s">
        <v>243</v>
      </c>
      <c r="AE574" s="23"/>
      <c r="AF574" s="23"/>
      <c r="AG574" s="23" t="s">
        <v>103</v>
      </c>
      <c r="AH574" s="23"/>
      <c r="AI574" s="23" t="str">
        <f>TEXT(TRUNC(P574*Z574,1),"#,##0.#")</f>
        <v>19,360.6</v>
      </c>
      <c r="AJ574" s="23"/>
      <c r="AK574" s="23"/>
      <c r="AL574" s="23"/>
      <c r="AM574" s="23"/>
      <c r="AN574" s="23"/>
      <c r="AO574" s="23"/>
      <c r="AP574" s="29"/>
      <c r="AQ574" s="29"/>
      <c r="AR574" s="29"/>
      <c r="AS574" s="29"/>
      <c r="AT574" s="29"/>
      <c r="AU574" s="29"/>
      <c r="AV574" s="29"/>
      <c r="AW574" s="23"/>
      <c r="AX574" s="23"/>
      <c r="AY574" s="29"/>
      <c r="AZ574" s="29"/>
      <c r="BA574" s="29"/>
      <c r="BB574" s="23"/>
      <c r="BC574" s="23"/>
      <c r="BD574" s="23"/>
      <c r="BE574" s="23"/>
      <c r="BF574" s="23"/>
      <c r="BG574" s="29"/>
      <c r="BH574" s="29"/>
      <c r="BI574" s="29"/>
      <c r="BJ574" s="29"/>
      <c r="BK574" s="29"/>
      <c r="BL574" s="29"/>
      <c r="BM574" s="29"/>
      <c r="BN574" s="29"/>
      <c r="BO574" s="29"/>
      <c r="BP574" s="29"/>
      <c r="BQ574" s="29"/>
      <c r="BR574" s="29"/>
      <c r="BS574" s="29"/>
      <c r="BT574" s="29"/>
      <c r="BU574" s="29"/>
      <c r="BV574" s="29"/>
      <c r="BW574" s="29"/>
      <c r="BX574" s="29"/>
      <c r="BY574" s="29"/>
      <c r="BZ574" s="29"/>
      <c r="CA574" s="29"/>
      <c r="CB574" s="29"/>
      <c r="CC574" s="23"/>
      <c r="CD574" s="23"/>
      <c r="CE574" s="23"/>
      <c r="CF574" s="23"/>
      <c r="CG574" s="23"/>
      <c r="CH574" s="27"/>
      <c r="CI574" s="27" t="str">
        <f>AI574</f>
        <v>19,360.6</v>
      </c>
      <c r="CJ574" s="27"/>
      <c r="CK574" s="28"/>
      <c r="CL574" s="39"/>
    </row>
    <row r="575" spans="1:90" ht="16.5" customHeight="1" x14ac:dyDescent="0.25">
      <c r="A575" s="20"/>
      <c r="B575" s="31"/>
      <c r="C575" s="30"/>
      <c r="D575" s="29"/>
      <c r="E575" s="29"/>
      <c r="F575" s="29"/>
      <c r="G575" s="23" t="s">
        <v>340</v>
      </c>
      <c r="H575" s="23"/>
      <c r="I575" s="23"/>
      <c r="J575" s="23"/>
      <c r="K575" s="23"/>
      <c r="L575" s="23"/>
      <c r="M575" s="23"/>
      <c r="N575" s="23" t="s">
        <v>121</v>
      </c>
      <c r="O575" s="23" t="s">
        <v>341</v>
      </c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9"/>
      <c r="AZ575" s="29"/>
      <c r="BA575" s="23"/>
      <c r="BB575" s="23"/>
      <c r="BC575" s="23"/>
      <c r="BD575" s="23"/>
      <c r="BE575" s="23"/>
      <c r="BF575" s="23"/>
      <c r="BG575" s="23"/>
      <c r="BH575" s="23"/>
      <c r="BI575" s="23"/>
      <c r="BJ575" s="23"/>
      <c r="BK575" s="23"/>
      <c r="BL575" s="29"/>
      <c r="BM575" s="29"/>
      <c r="BN575" s="29"/>
      <c r="BO575" s="29"/>
      <c r="BP575" s="29"/>
      <c r="BQ575" s="29"/>
      <c r="BR575" s="29"/>
      <c r="BS575" s="29"/>
      <c r="BT575" s="29"/>
      <c r="BU575" s="29"/>
      <c r="BV575" s="29"/>
      <c r="BW575" s="29"/>
      <c r="BX575" s="29"/>
      <c r="BY575" s="29"/>
      <c r="BZ575" s="29"/>
      <c r="CA575" s="29"/>
      <c r="CB575" s="29"/>
      <c r="CC575" s="23"/>
      <c r="CD575" s="23"/>
      <c r="CE575" s="23"/>
      <c r="CF575" s="23"/>
      <c r="CG575" s="23"/>
      <c r="CH575" s="27"/>
      <c r="CI575" s="27"/>
      <c r="CJ575" s="27"/>
      <c r="CK575" s="28"/>
      <c r="CL575" s="39"/>
    </row>
    <row r="576" spans="1:90" ht="16.5" customHeight="1" x14ac:dyDescent="0.25">
      <c r="A576" s="20"/>
      <c r="B576" s="31"/>
      <c r="C576" s="30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3" t="s">
        <v>96</v>
      </c>
      <c r="O576" s="23" t="str">
        <f>TEXT(TRUNC(AI573,1),"#,##0.#")</f>
        <v>49,671.7</v>
      </c>
      <c r="P576" s="23"/>
      <c r="Q576" s="23"/>
      <c r="R576" s="23"/>
      <c r="S576" s="23"/>
      <c r="T576" s="23" t="s">
        <v>97</v>
      </c>
      <c r="U576" s="23"/>
      <c r="V576" s="23"/>
      <c r="W576" s="23" t="str">
        <f>TEXT(TRUNC(AI574,1),"#,##0.#")</f>
        <v>19,360.6</v>
      </c>
      <c r="X576" s="23"/>
      <c r="Y576" s="23"/>
      <c r="Z576" s="34"/>
      <c r="AA576" s="34"/>
      <c r="AB576" s="23" t="s">
        <v>101</v>
      </c>
      <c r="AC576" s="23"/>
      <c r="AD576" s="23" t="s">
        <v>102</v>
      </c>
      <c r="AE576" s="23"/>
      <c r="AF576" s="23"/>
      <c r="AG576" s="23" t="str">
        <f>TEXT(0.01,"#,##0.#######")</f>
        <v>0.01</v>
      </c>
      <c r="AH576" s="23"/>
      <c r="AI576" s="23"/>
      <c r="AJ576" s="23"/>
      <c r="AK576" s="23" t="s">
        <v>103</v>
      </c>
      <c r="AL576" s="23"/>
      <c r="AM576" s="23"/>
      <c r="AN576" s="23" t="str">
        <f>TEXT(TRUNC((O576+W576)*AG576,1),"#,##0.#")</f>
        <v>690.3</v>
      </c>
      <c r="AO576" s="23"/>
      <c r="AP576" s="23"/>
      <c r="AQ576" s="23"/>
      <c r="AR576" s="23" t="s">
        <v>288</v>
      </c>
      <c r="AS576" s="23"/>
      <c r="AT576" s="23"/>
      <c r="AU576" s="23"/>
      <c r="AV576" s="23"/>
      <c r="AW576" s="23"/>
      <c r="AX576" s="23"/>
      <c r="AY576" s="29"/>
      <c r="AZ576" s="29"/>
      <c r="BA576" s="29"/>
      <c r="BB576" s="23"/>
      <c r="BC576" s="23"/>
      <c r="BD576" s="23"/>
      <c r="BE576" s="23"/>
      <c r="BF576" s="23"/>
      <c r="BG576" s="23"/>
      <c r="BH576" s="23"/>
      <c r="BI576" s="23"/>
      <c r="BJ576" s="23"/>
      <c r="BK576" s="23"/>
      <c r="BL576" s="23"/>
      <c r="BM576" s="23"/>
      <c r="BN576" s="23"/>
      <c r="BO576" s="23"/>
      <c r="BP576" s="23"/>
      <c r="BQ576" s="23"/>
      <c r="BR576" s="23"/>
      <c r="BS576" s="23"/>
      <c r="BT576" s="23"/>
      <c r="BU576" s="23"/>
      <c r="BV576" s="23"/>
      <c r="BW576" s="23"/>
      <c r="BX576" s="23"/>
      <c r="BY576" s="23"/>
      <c r="BZ576" s="23"/>
      <c r="CA576" s="23"/>
      <c r="CB576" s="23"/>
      <c r="CC576" s="23"/>
      <c r="CD576" s="23"/>
      <c r="CE576" s="23"/>
      <c r="CF576" s="23"/>
      <c r="CG576" s="23"/>
      <c r="CH576" s="27"/>
      <c r="CI576" s="27"/>
      <c r="CJ576" s="27"/>
      <c r="CK576" s="28" t="str">
        <f>AN576</f>
        <v>690.3</v>
      </c>
      <c r="CL576" s="39"/>
    </row>
    <row r="577" spans="1:90" ht="16.5" customHeight="1" x14ac:dyDescent="0.25">
      <c r="A577" s="20"/>
      <c r="B577" s="31"/>
      <c r="C577" s="30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  <c r="AQ577" s="29"/>
      <c r="AR577" s="29"/>
      <c r="AS577" s="29"/>
      <c r="AT577" s="29"/>
      <c r="AU577" s="29"/>
      <c r="AV577" s="29"/>
      <c r="AW577" s="29"/>
      <c r="AX577" s="29"/>
      <c r="AY577" s="29"/>
      <c r="AZ577" s="29"/>
      <c r="BA577" s="29"/>
      <c r="BB577" s="23"/>
      <c r="BC577" s="23"/>
      <c r="BD577" s="23"/>
      <c r="BE577" s="23"/>
      <c r="BF577" s="23"/>
      <c r="BG577" s="23"/>
      <c r="BH577" s="23"/>
      <c r="BI577" s="23"/>
      <c r="BJ577" s="23"/>
      <c r="BK577" s="23"/>
      <c r="BL577" s="23"/>
      <c r="BM577" s="23"/>
      <c r="BN577" s="23"/>
      <c r="BO577" s="23"/>
      <c r="BP577" s="23"/>
      <c r="BQ577" s="23"/>
      <c r="BR577" s="23"/>
      <c r="BS577" s="23"/>
      <c r="BT577" s="23"/>
      <c r="BU577" s="23"/>
      <c r="BV577" s="23"/>
      <c r="BW577" s="23"/>
      <c r="BX577" s="23"/>
      <c r="BY577" s="23"/>
      <c r="BZ577" s="23"/>
      <c r="CA577" s="23"/>
      <c r="CB577" s="23"/>
      <c r="CC577" s="23"/>
      <c r="CD577" s="23"/>
      <c r="CE577" s="23"/>
      <c r="CF577" s="23"/>
      <c r="CG577" s="23"/>
      <c r="CH577" s="27"/>
      <c r="CI577" s="27"/>
      <c r="CJ577" s="27"/>
      <c r="CK577" s="28"/>
      <c r="CL577" s="39"/>
    </row>
    <row r="578" spans="1:90" ht="16.5" customHeight="1" x14ac:dyDescent="0.25">
      <c r="A578" s="20"/>
      <c r="B578" s="31"/>
      <c r="C578" s="30"/>
      <c r="D578" s="23" t="s">
        <v>237</v>
      </c>
      <c r="E578" s="23"/>
      <c r="F578" s="23"/>
      <c r="G578" s="23" t="s">
        <v>323</v>
      </c>
      <c r="H578" s="23"/>
      <c r="I578" s="23"/>
      <c r="J578" s="23"/>
      <c r="K578" s="23" t="s">
        <v>127</v>
      </c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  <c r="AZ578" s="23"/>
      <c r="BA578" s="29"/>
      <c r="BB578" s="23"/>
      <c r="BC578" s="23"/>
      <c r="BD578" s="23"/>
      <c r="BE578" s="23"/>
      <c r="BF578" s="23"/>
      <c r="BG578" s="23"/>
      <c r="BH578" s="23"/>
      <c r="BI578" s="23"/>
      <c r="BJ578" s="23"/>
      <c r="BK578" s="23"/>
      <c r="BL578" s="23"/>
      <c r="BM578" s="23"/>
      <c r="BN578" s="23"/>
      <c r="BO578" s="23"/>
      <c r="BP578" s="23"/>
      <c r="BQ578" s="23"/>
      <c r="BR578" s="23"/>
      <c r="BS578" s="23"/>
      <c r="BT578" s="23"/>
      <c r="BU578" s="23"/>
      <c r="BV578" s="23"/>
      <c r="BW578" s="23"/>
      <c r="BX578" s="23"/>
      <c r="BY578" s="23"/>
      <c r="BZ578" s="23"/>
      <c r="CA578" s="23"/>
      <c r="CB578" s="23"/>
      <c r="CC578" s="23"/>
      <c r="CD578" s="23"/>
      <c r="CE578" s="23"/>
      <c r="CF578" s="23"/>
      <c r="CG578" s="23"/>
      <c r="CH578" s="27"/>
      <c r="CI578" s="27"/>
      <c r="CJ578" s="27"/>
      <c r="CK578" s="28"/>
      <c r="CL578" s="39"/>
    </row>
    <row r="579" spans="1:90" ht="16.5" customHeight="1" x14ac:dyDescent="0.25">
      <c r="A579" s="20"/>
      <c r="B579" s="31"/>
      <c r="C579" s="30"/>
      <c r="D579" s="23"/>
      <c r="E579" s="23"/>
      <c r="F579" s="23"/>
      <c r="G579" s="23"/>
      <c r="H579" s="23" t="s">
        <v>120</v>
      </c>
      <c r="I579" s="23"/>
      <c r="J579" s="23"/>
      <c r="K579" s="23"/>
      <c r="L579" s="23"/>
      <c r="M579" s="23"/>
      <c r="N579" s="23"/>
      <c r="O579" s="23" t="s">
        <v>121</v>
      </c>
      <c r="P579" s="23"/>
      <c r="Q579" s="23" t="str">
        <f>AI573</f>
        <v>49,671.7</v>
      </c>
      <c r="R579" s="23"/>
      <c r="S579" s="23"/>
      <c r="T579" s="23"/>
      <c r="U579" s="23"/>
      <c r="V579" s="23"/>
      <c r="W579" s="23"/>
      <c r="X579" s="23" t="s">
        <v>97</v>
      </c>
      <c r="Y579" s="23"/>
      <c r="Z579" s="23" t="str">
        <f>TEXT(AI574,"#,###.##")</f>
        <v>19,360.6</v>
      </c>
      <c r="AA579" s="23"/>
      <c r="AB579" s="23"/>
      <c r="AC579" s="23"/>
      <c r="AD579" s="23"/>
      <c r="AE579" s="23"/>
      <c r="AF579" s="29"/>
      <c r="AG579" s="29"/>
      <c r="AH579" s="29"/>
      <c r="AI579" s="29"/>
      <c r="AJ579" s="29"/>
      <c r="AK579" s="29"/>
      <c r="AL579" s="29"/>
      <c r="AM579" s="29"/>
      <c r="AN579" s="29"/>
      <c r="AO579" s="23" t="s">
        <v>103</v>
      </c>
      <c r="AP579" s="23"/>
      <c r="AQ579" s="23"/>
      <c r="AR579" s="23" t="str">
        <f>TEXT(TRUNC(Q579+Z579,0),"#,##0")</f>
        <v>69,032</v>
      </c>
      <c r="AS579" s="23"/>
      <c r="AT579" s="23"/>
      <c r="AU579" s="23"/>
      <c r="AV579" s="23"/>
      <c r="AW579" s="29"/>
      <c r="AX579" s="29"/>
      <c r="AY579" s="29"/>
      <c r="AZ579" s="29"/>
      <c r="BA579" s="29"/>
      <c r="BB579" s="23"/>
      <c r="BC579" s="23"/>
      <c r="BD579" s="23"/>
      <c r="BE579" s="23"/>
      <c r="BF579" s="23"/>
      <c r="BG579" s="23"/>
      <c r="BH579" s="23"/>
      <c r="BI579" s="23"/>
      <c r="BJ579" s="23"/>
      <c r="BK579" s="23"/>
      <c r="BL579" s="23"/>
      <c r="BM579" s="23"/>
      <c r="BN579" s="23"/>
      <c r="BO579" s="23"/>
      <c r="BP579" s="23"/>
      <c r="BQ579" s="23"/>
      <c r="BR579" s="23"/>
      <c r="BS579" s="23"/>
      <c r="BT579" s="23"/>
      <c r="BU579" s="23"/>
      <c r="BV579" s="23"/>
      <c r="BW579" s="23"/>
      <c r="BX579" s="23"/>
      <c r="BY579" s="23"/>
      <c r="BZ579" s="23"/>
      <c r="CA579" s="23"/>
      <c r="CB579" s="23"/>
      <c r="CC579" s="23"/>
      <c r="CD579" s="23"/>
      <c r="CE579" s="23"/>
      <c r="CF579" s="23"/>
      <c r="CG579" s="23"/>
      <c r="CH579" s="27"/>
      <c r="CI579" s="27"/>
      <c r="CJ579" s="27"/>
      <c r="CK579" s="28"/>
      <c r="CL579" s="39"/>
    </row>
    <row r="580" spans="1:90" ht="16.5" customHeight="1" x14ac:dyDescent="0.25">
      <c r="A580" s="20"/>
      <c r="B580" s="22"/>
      <c r="C580" s="23"/>
      <c r="D580" s="23"/>
      <c r="E580" s="23"/>
      <c r="F580" s="23"/>
      <c r="G580" s="23"/>
      <c r="H580" s="23" t="s">
        <v>123</v>
      </c>
      <c r="I580" s="23"/>
      <c r="J580" s="23"/>
      <c r="K580" s="23"/>
      <c r="L580" s="23"/>
      <c r="M580" s="23"/>
      <c r="N580" s="23"/>
      <c r="O580" s="23" t="s">
        <v>121</v>
      </c>
      <c r="P580" s="23"/>
      <c r="Q580" s="23" t="str">
        <f>AI568</f>
        <v>5,721.6</v>
      </c>
      <c r="R580" s="23"/>
      <c r="S580" s="23"/>
      <c r="T580" s="23"/>
      <c r="U580" s="23"/>
      <c r="V580" s="23"/>
      <c r="W580" s="23"/>
      <c r="X580" s="23" t="s">
        <v>97</v>
      </c>
      <c r="Y580" s="23"/>
      <c r="Z580" s="23" t="str">
        <f>TEXT(AI569,"#,###.##")</f>
        <v>11,443.3</v>
      </c>
      <c r="AA580" s="23"/>
      <c r="AB580" s="23"/>
      <c r="AC580" s="23"/>
      <c r="AD580" s="23"/>
      <c r="AE580" s="23"/>
      <c r="AF580" s="29"/>
      <c r="AG580" s="23" t="s">
        <v>97</v>
      </c>
      <c r="AH580" s="23"/>
      <c r="AI580" s="23" t="str">
        <f>TEXT(AN571,"#,###.##")</f>
        <v>686.5</v>
      </c>
      <c r="AJ580" s="23"/>
      <c r="AK580" s="23"/>
      <c r="AL580" s="23"/>
      <c r="AM580" s="23"/>
      <c r="AN580" s="29"/>
      <c r="AO580" s="23" t="s">
        <v>103</v>
      </c>
      <c r="AP580" s="23"/>
      <c r="AQ580" s="23"/>
      <c r="AR580" s="23" t="str">
        <f>TEXT(TRUNC(Q580+Z580+AI580,0),"#,##0")</f>
        <v>17,851</v>
      </c>
      <c r="AS580" s="23"/>
      <c r="AT580" s="23"/>
      <c r="AU580" s="23"/>
      <c r="AV580" s="23"/>
      <c r="AW580" s="29"/>
      <c r="AX580" s="29"/>
      <c r="AY580" s="29"/>
      <c r="AZ580" s="29"/>
      <c r="BA580" s="23"/>
      <c r="BB580" s="23"/>
      <c r="BC580" s="23"/>
      <c r="BD580" s="23"/>
      <c r="BE580" s="23"/>
      <c r="BF580" s="23"/>
      <c r="BG580" s="23"/>
      <c r="BH580" s="23"/>
      <c r="BI580" s="23"/>
      <c r="BJ580" s="23"/>
      <c r="BK580" s="23"/>
      <c r="BL580" s="23"/>
      <c r="BM580" s="23"/>
      <c r="BN580" s="23"/>
      <c r="BO580" s="23"/>
      <c r="BP580" s="23"/>
      <c r="BQ580" s="23"/>
      <c r="BR580" s="23"/>
      <c r="BS580" s="23"/>
      <c r="BT580" s="23"/>
      <c r="BU580" s="23"/>
      <c r="BV580" s="23"/>
      <c r="BW580" s="23"/>
      <c r="BX580" s="23"/>
      <c r="BY580" s="23"/>
      <c r="BZ580" s="23"/>
      <c r="CA580" s="23"/>
      <c r="CB580" s="23"/>
      <c r="CC580" s="23"/>
      <c r="CD580" s="23"/>
      <c r="CE580" s="23"/>
      <c r="CF580" s="23"/>
      <c r="CG580" s="23"/>
      <c r="CH580" s="27"/>
      <c r="CI580" s="27"/>
      <c r="CJ580" s="28"/>
      <c r="CK580" s="28"/>
      <c r="CL580" s="39"/>
    </row>
    <row r="581" spans="1:90" ht="16.5" customHeight="1" x14ac:dyDescent="0.2">
      <c r="A581" s="20"/>
      <c r="B581" s="22"/>
      <c r="C581" s="23"/>
      <c r="D581" s="23"/>
      <c r="E581" s="23"/>
      <c r="F581" s="23"/>
      <c r="G581" s="23"/>
      <c r="H581" s="23" t="s">
        <v>124</v>
      </c>
      <c r="I581" s="23"/>
      <c r="J581" s="23"/>
      <c r="K581" s="23"/>
      <c r="L581" s="23" t="s">
        <v>125</v>
      </c>
      <c r="M581" s="23"/>
      <c r="N581" s="23"/>
      <c r="O581" s="23" t="s">
        <v>121</v>
      </c>
      <c r="P581" s="23"/>
      <c r="Q581" s="23" t="str">
        <f>AN576</f>
        <v>690.3</v>
      </c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 t="s">
        <v>103</v>
      </c>
      <c r="AP581" s="23"/>
      <c r="AQ581" s="23"/>
      <c r="AR581" s="23" t="str">
        <f>TEXT(TRUNC(Q581,0),"#,##0")</f>
        <v>690</v>
      </c>
      <c r="AS581" s="23"/>
      <c r="AT581" s="23"/>
      <c r="AU581" s="23"/>
      <c r="AV581" s="23"/>
      <c r="AW581" s="23"/>
      <c r="AX581" s="23"/>
      <c r="AY581" s="23"/>
      <c r="AZ581" s="23"/>
      <c r="BA581" s="23"/>
      <c r="BB581" s="23"/>
      <c r="BC581" s="23"/>
      <c r="BD581" s="23"/>
      <c r="BE581" s="23"/>
      <c r="BF581" s="23"/>
      <c r="BG581" s="23"/>
      <c r="BH581" s="23"/>
      <c r="BI581" s="23"/>
      <c r="BJ581" s="23"/>
      <c r="BK581" s="23"/>
      <c r="BL581" s="23"/>
      <c r="BM581" s="23"/>
      <c r="BN581" s="23"/>
      <c r="BO581" s="23"/>
      <c r="BP581" s="23"/>
      <c r="BQ581" s="23"/>
      <c r="BR581" s="23"/>
      <c r="BS581" s="23"/>
      <c r="BT581" s="23"/>
      <c r="BU581" s="23"/>
      <c r="BV581" s="23"/>
      <c r="BW581" s="23"/>
      <c r="BX581" s="23"/>
      <c r="BY581" s="23"/>
      <c r="BZ581" s="23"/>
      <c r="CA581" s="23"/>
      <c r="CB581" s="23"/>
      <c r="CC581" s="23"/>
      <c r="CD581" s="23"/>
      <c r="CE581" s="23"/>
      <c r="CF581" s="23"/>
      <c r="CG581" s="23"/>
      <c r="CH581" s="27"/>
      <c r="CI581" s="27"/>
      <c r="CJ581" s="28"/>
      <c r="CK581" s="28"/>
      <c r="CL581" s="39"/>
    </row>
    <row r="582" spans="1:90" ht="16.5" customHeight="1" x14ac:dyDescent="0.25">
      <c r="A582" s="20"/>
      <c r="B582" s="22"/>
      <c r="C582" s="23"/>
      <c r="D582" s="23"/>
      <c r="E582" s="23"/>
      <c r="F582" s="23"/>
      <c r="G582" s="23"/>
      <c r="H582" s="23" t="s">
        <v>126</v>
      </c>
      <c r="I582" s="23"/>
      <c r="J582" s="23"/>
      <c r="K582" s="23"/>
      <c r="L582" s="23" t="s">
        <v>127</v>
      </c>
      <c r="M582" s="23"/>
      <c r="N582" s="23"/>
      <c r="O582" s="23" t="s">
        <v>121</v>
      </c>
      <c r="P582" s="23"/>
      <c r="Q582" s="23" t="str">
        <f>TEXT(AR579+AR580+AR581,"#,##0")</f>
        <v>87,573</v>
      </c>
      <c r="R582" s="29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  <c r="AY582" s="23"/>
      <c r="AZ582" s="23"/>
      <c r="BA582" s="23"/>
      <c r="BB582" s="23"/>
      <c r="BC582" s="23"/>
      <c r="BD582" s="23"/>
      <c r="BE582" s="23"/>
      <c r="BF582" s="23"/>
      <c r="BG582" s="23"/>
      <c r="BH582" s="23"/>
      <c r="BI582" s="23"/>
      <c r="BJ582" s="23"/>
      <c r="BK582" s="23"/>
      <c r="BL582" s="23"/>
      <c r="BM582" s="23"/>
      <c r="BN582" s="23"/>
      <c r="BO582" s="23"/>
      <c r="BP582" s="23"/>
      <c r="BQ582" s="23"/>
      <c r="BR582" s="23"/>
      <c r="BS582" s="23"/>
      <c r="BT582" s="23"/>
      <c r="BU582" s="23"/>
      <c r="BV582" s="23"/>
      <c r="BW582" s="23"/>
      <c r="BX582" s="23"/>
      <c r="BY582" s="23"/>
      <c r="BZ582" s="23"/>
      <c r="CA582" s="23"/>
      <c r="CB582" s="23"/>
      <c r="CC582" s="23"/>
      <c r="CD582" s="23"/>
      <c r="CE582" s="23"/>
      <c r="CF582" s="23"/>
      <c r="CG582" s="23"/>
      <c r="CH582" s="27">
        <f>CI582+CJ582+CK582</f>
        <v>87573</v>
      </c>
      <c r="CI582" s="27" t="str">
        <f>AR579</f>
        <v>69,032</v>
      </c>
      <c r="CJ582" s="28" t="str">
        <f>AR580</f>
        <v>17,851</v>
      </c>
      <c r="CK582" s="28" t="str">
        <f>AR581</f>
        <v>690</v>
      </c>
      <c r="CL582" s="39"/>
    </row>
    <row r="583" spans="1:90" ht="16.5" customHeight="1" x14ac:dyDescent="0.25">
      <c r="A583" s="20"/>
      <c r="B583" s="95"/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35"/>
      <c r="S583" s="78"/>
      <c r="T583" s="78"/>
      <c r="U583" s="78"/>
      <c r="V583" s="78"/>
      <c r="W583" s="78"/>
      <c r="X583" s="78"/>
      <c r="Y583" s="78"/>
      <c r="Z583" s="78"/>
      <c r="AA583" s="78"/>
      <c r="AB583" s="78"/>
      <c r="AC583" s="78"/>
      <c r="AD583" s="78"/>
      <c r="AE583" s="78"/>
      <c r="AF583" s="78"/>
      <c r="AG583" s="78"/>
      <c r="AH583" s="78"/>
      <c r="AI583" s="78"/>
      <c r="AJ583" s="78"/>
      <c r="AK583" s="78"/>
      <c r="AL583" s="78"/>
      <c r="AM583" s="78"/>
      <c r="AN583" s="78"/>
      <c r="AO583" s="78"/>
      <c r="AP583" s="78"/>
      <c r="AQ583" s="78"/>
      <c r="AR583" s="78"/>
      <c r="AS583" s="78"/>
      <c r="AT583" s="78"/>
      <c r="AU583" s="78"/>
      <c r="AV583" s="78"/>
      <c r="AW583" s="78"/>
      <c r="AX583" s="78"/>
      <c r="AY583" s="78"/>
      <c r="AZ583" s="78"/>
      <c r="BA583" s="78"/>
      <c r="BB583" s="78"/>
      <c r="BC583" s="78"/>
      <c r="BD583" s="78"/>
      <c r="BE583" s="78"/>
      <c r="BF583" s="78"/>
      <c r="BG583" s="78"/>
      <c r="BH583" s="78"/>
      <c r="BI583" s="78"/>
      <c r="BJ583" s="78"/>
      <c r="BK583" s="78"/>
      <c r="BL583" s="78"/>
      <c r="BM583" s="78"/>
      <c r="BN583" s="78"/>
      <c r="BO583" s="78"/>
      <c r="BP583" s="78"/>
      <c r="BQ583" s="78"/>
      <c r="BR583" s="78"/>
      <c r="BS583" s="78"/>
      <c r="BT583" s="78"/>
      <c r="BU583" s="78"/>
      <c r="BV583" s="78"/>
      <c r="BW583" s="78"/>
      <c r="BX583" s="78"/>
      <c r="BY583" s="78"/>
      <c r="BZ583" s="78"/>
      <c r="CA583" s="78"/>
      <c r="CB583" s="78"/>
      <c r="CC583" s="78"/>
      <c r="CD583" s="78"/>
      <c r="CE583" s="78"/>
      <c r="CF583" s="78"/>
      <c r="CG583" s="78"/>
      <c r="CH583" s="91"/>
      <c r="CI583" s="91"/>
      <c r="CJ583" s="92"/>
      <c r="CK583" s="92"/>
      <c r="CL583" s="93"/>
    </row>
    <row r="584" spans="1:90" ht="14.25" customHeight="1" x14ac:dyDescent="0.2">
      <c r="A584" s="20"/>
      <c r="B584" s="82" t="s">
        <v>342</v>
      </c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  <c r="AA584" s="83"/>
      <c r="AB584" s="83"/>
      <c r="AC584" s="83"/>
      <c r="AD584" s="83"/>
      <c r="AE584" s="83"/>
      <c r="AF584" s="83"/>
      <c r="AG584" s="83"/>
      <c r="AH584" s="83"/>
      <c r="AI584" s="83"/>
      <c r="AJ584" s="83"/>
      <c r="AK584" s="83"/>
      <c r="AL584" s="83"/>
      <c r="AM584" s="83"/>
      <c r="AN584" s="83"/>
      <c r="AO584" s="83"/>
      <c r="AP584" s="83"/>
      <c r="AQ584" s="83"/>
      <c r="AR584" s="83"/>
      <c r="AS584" s="83"/>
      <c r="AT584" s="83"/>
      <c r="AU584" s="83"/>
      <c r="AV584" s="83"/>
      <c r="AW584" s="83"/>
      <c r="AX584" s="83"/>
      <c r="AY584" s="83"/>
      <c r="AZ584" s="83"/>
      <c r="BA584" s="83"/>
      <c r="BB584" s="83"/>
      <c r="BC584" s="83"/>
      <c r="BD584" s="83"/>
      <c r="BE584" s="83"/>
      <c r="BF584" s="83"/>
      <c r="BG584" s="83"/>
      <c r="BH584" s="83"/>
      <c r="BI584" s="83"/>
      <c r="BJ584" s="83"/>
      <c r="BK584" s="83"/>
      <c r="BL584" s="83"/>
      <c r="BM584" s="83"/>
      <c r="BN584" s="83"/>
      <c r="BO584" s="83"/>
      <c r="BP584" s="83"/>
      <c r="BQ584" s="83"/>
      <c r="BR584" s="83"/>
      <c r="BS584" s="83"/>
      <c r="BT584" s="83"/>
      <c r="BU584" s="83"/>
      <c r="BV584" s="83"/>
      <c r="BW584" s="83"/>
      <c r="BX584" s="83"/>
      <c r="BY584" s="83"/>
      <c r="BZ584" s="83"/>
      <c r="CA584" s="83"/>
      <c r="CB584" s="83"/>
      <c r="CC584" s="83"/>
      <c r="CD584" s="83"/>
      <c r="CE584" s="83"/>
      <c r="CF584" s="83"/>
      <c r="CG584" s="83"/>
      <c r="CH584" s="94">
        <f>TRUNC(CI584+CJ584+CK584,0)</f>
        <v>35292</v>
      </c>
      <c r="CI584" s="94">
        <f>TRUNC(CI587+CI588,0)</f>
        <v>27904</v>
      </c>
      <c r="CJ584" s="54">
        <f>TRUNC(CJ593+CJ595,0)</f>
        <v>7109</v>
      </c>
      <c r="CK584" s="54">
        <f>TRUNC(CK590,0)</f>
        <v>279</v>
      </c>
      <c r="CL584" s="101">
        <v>631</v>
      </c>
    </row>
    <row r="585" spans="1:90" ht="14.25" customHeight="1" x14ac:dyDescent="0.25">
      <c r="A585" s="20"/>
      <c r="B585" s="31"/>
      <c r="C585" s="29"/>
      <c r="D585" s="23" t="s">
        <v>343</v>
      </c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  <c r="AQ585" s="29"/>
      <c r="AR585" s="29"/>
      <c r="AS585" s="29"/>
      <c r="AT585" s="29"/>
      <c r="AU585" s="29"/>
      <c r="AV585" s="29"/>
      <c r="AW585" s="29"/>
      <c r="AX585" s="29"/>
      <c r="AY585" s="29"/>
      <c r="AZ585" s="29"/>
      <c r="BA585" s="29"/>
      <c r="BB585" s="29"/>
      <c r="BC585" s="29"/>
      <c r="BD585" s="29"/>
      <c r="BE585" s="29"/>
      <c r="BF585" s="29"/>
      <c r="BG585" s="29"/>
      <c r="BH585" s="29"/>
      <c r="BI585" s="29"/>
      <c r="BJ585" s="29"/>
      <c r="BK585" s="29"/>
      <c r="BL585" s="29"/>
      <c r="BM585" s="29"/>
      <c r="BN585" s="29"/>
      <c r="BO585" s="29"/>
      <c r="BP585" s="29"/>
      <c r="BQ585" s="29"/>
      <c r="BR585" s="29"/>
      <c r="BS585" s="29"/>
      <c r="BT585" s="29"/>
      <c r="BU585" s="29"/>
      <c r="BV585" s="29"/>
      <c r="BW585" s="29"/>
      <c r="BX585" s="29"/>
      <c r="BY585" s="29"/>
      <c r="BZ585" s="29"/>
      <c r="CA585" s="29"/>
      <c r="CB585" s="29"/>
      <c r="CC585" s="29"/>
      <c r="CD585" s="29"/>
      <c r="CE585" s="29"/>
      <c r="CF585" s="29"/>
      <c r="CG585" s="29"/>
      <c r="CH585" s="27"/>
      <c r="CI585" s="27"/>
      <c r="CJ585" s="27"/>
      <c r="CK585" s="28"/>
      <c r="CL585" s="39" t="s">
        <v>335</v>
      </c>
    </row>
    <row r="586" spans="1:90" ht="14.25" customHeight="1" x14ac:dyDescent="0.2">
      <c r="A586" s="20"/>
      <c r="B586" s="31"/>
      <c r="C586" s="30"/>
      <c r="D586" s="23" t="s">
        <v>94</v>
      </c>
      <c r="E586" s="23"/>
      <c r="F586" s="23"/>
      <c r="G586" s="23" t="s">
        <v>161</v>
      </c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23"/>
      <c r="BC586" s="23"/>
      <c r="BD586" s="23"/>
      <c r="BE586" s="23"/>
      <c r="BF586" s="23"/>
      <c r="BG586" s="23"/>
      <c r="BH586" s="23"/>
      <c r="BI586" s="23"/>
      <c r="BJ586" s="23"/>
      <c r="BK586" s="23"/>
      <c r="BL586" s="23"/>
      <c r="BM586" s="23"/>
      <c r="BN586" s="23"/>
      <c r="BO586" s="23"/>
      <c r="BP586" s="23"/>
      <c r="BQ586" s="23"/>
      <c r="BR586" s="23"/>
      <c r="BS586" s="23"/>
      <c r="BT586" s="23"/>
      <c r="BU586" s="23"/>
      <c r="BV586" s="23"/>
      <c r="BW586" s="23"/>
      <c r="BX586" s="23"/>
      <c r="BY586" s="23"/>
      <c r="BZ586" s="23"/>
      <c r="CA586" s="23"/>
      <c r="CB586" s="23"/>
      <c r="CC586" s="23"/>
      <c r="CD586" s="23"/>
      <c r="CE586" s="23"/>
      <c r="CF586" s="23"/>
      <c r="CG586" s="23"/>
      <c r="CH586" s="27"/>
      <c r="CI586" s="27"/>
      <c r="CJ586" s="27"/>
      <c r="CK586" s="28"/>
      <c r="CL586" s="39"/>
    </row>
    <row r="587" spans="1:90" ht="14.25" customHeight="1" x14ac:dyDescent="0.25">
      <c r="A587" s="20"/>
      <c r="B587" s="31"/>
      <c r="C587" s="30"/>
      <c r="D587" s="23"/>
      <c r="E587" s="23"/>
      <c r="F587" s="23"/>
      <c r="G587" s="23" t="s">
        <v>339</v>
      </c>
      <c r="H587" s="23"/>
      <c r="I587" s="23"/>
      <c r="J587" s="23"/>
      <c r="K587" s="23"/>
      <c r="L587" s="23"/>
      <c r="M587" s="23"/>
      <c r="N587" s="23" t="s">
        <v>121</v>
      </c>
      <c r="O587" s="23"/>
      <c r="P587" s="23" t="str">
        <f>TEXT([1]노임및중기단가!I16,"#,##0")</f>
        <v>215,964</v>
      </c>
      <c r="Q587" s="23"/>
      <c r="R587" s="23"/>
      <c r="S587" s="23"/>
      <c r="T587" s="23"/>
      <c r="U587" s="23"/>
      <c r="V587" s="23"/>
      <c r="W587" s="23" t="s">
        <v>102</v>
      </c>
      <c r="X587" s="23"/>
      <c r="Y587" s="23"/>
      <c r="Z587" s="23" t="str">
        <f>TEXT(0.11,"#,##0.#######")</f>
        <v>0.11</v>
      </c>
      <c r="AA587" s="23"/>
      <c r="AB587" s="23"/>
      <c r="AC587" s="23"/>
      <c r="AD587" s="23" t="s">
        <v>243</v>
      </c>
      <c r="AE587" s="23"/>
      <c r="AF587" s="23"/>
      <c r="AG587" s="23" t="s">
        <v>103</v>
      </c>
      <c r="AH587" s="23"/>
      <c r="AI587" s="23" t="str">
        <f>TEXT(TRUNC(P587*Z587,1),"#,##0.#")</f>
        <v>23,756.</v>
      </c>
      <c r="AJ587" s="23"/>
      <c r="AK587" s="23"/>
      <c r="AL587" s="23"/>
      <c r="AM587" s="29"/>
      <c r="AN587" s="29"/>
      <c r="AO587" s="29"/>
      <c r="AP587" s="29"/>
      <c r="AQ587" s="29"/>
      <c r="AR587" s="29"/>
      <c r="AS587" s="29"/>
      <c r="AT587" s="29"/>
      <c r="AU587" s="29"/>
      <c r="AV587" s="29"/>
      <c r="AW587" s="29"/>
      <c r="AX587" s="29"/>
      <c r="AY587" s="29"/>
      <c r="AZ587" s="29"/>
      <c r="BA587" s="29"/>
      <c r="BB587" s="29"/>
      <c r="BC587" s="29"/>
      <c r="BD587" s="29"/>
      <c r="BE587" s="29"/>
      <c r="BF587" s="29"/>
      <c r="BG587" s="29"/>
      <c r="BH587" s="29"/>
      <c r="BI587" s="29"/>
      <c r="BJ587" s="29"/>
      <c r="BK587" s="29"/>
      <c r="BL587" s="29"/>
      <c r="BM587" s="29"/>
      <c r="BN587" s="29"/>
      <c r="BO587" s="29"/>
      <c r="BP587" s="29"/>
      <c r="BQ587" s="29"/>
      <c r="BR587" s="29"/>
      <c r="BS587" s="29"/>
      <c r="BT587" s="29"/>
      <c r="BU587" s="29"/>
      <c r="BV587" s="23"/>
      <c r="BW587" s="23"/>
      <c r="BX587" s="23"/>
      <c r="BY587" s="23"/>
      <c r="BZ587" s="23"/>
      <c r="CA587" s="23"/>
      <c r="CB587" s="23"/>
      <c r="CC587" s="23"/>
      <c r="CD587" s="23"/>
      <c r="CE587" s="23"/>
      <c r="CF587" s="23"/>
      <c r="CG587" s="23"/>
      <c r="CH587" s="27"/>
      <c r="CI587" s="27" t="str">
        <f>AI587</f>
        <v>23,756.</v>
      </c>
      <c r="CJ587" s="27"/>
      <c r="CK587" s="28"/>
      <c r="CL587" s="39"/>
    </row>
    <row r="588" spans="1:90" ht="14.25" customHeight="1" x14ac:dyDescent="0.25">
      <c r="A588" s="20"/>
      <c r="B588" s="31"/>
      <c r="C588" s="30"/>
      <c r="D588" s="23"/>
      <c r="E588" s="23"/>
      <c r="F588" s="23"/>
      <c r="G588" s="23" t="s">
        <v>322</v>
      </c>
      <c r="H588" s="23"/>
      <c r="I588" s="23"/>
      <c r="J588" s="23"/>
      <c r="K588" s="23"/>
      <c r="L588" s="23"/>
      <c r="M588" s="23"/>
      <c r="N588" s="23" t="s">
        <v>121</v>
      </c>
      <c r="O588" s="23"/>
      <c r="P588" s="23" t="str">
        <f>TEXT([1]노임및중기단가!I8,"#,##0")</f>
        <v>138,290</v>
      </c>
      <c r="Q588" s="23"/>
      <c r="R588" s="23"/>
      <c r="S588" s="23"/>
      <c r="T588" s="23"/>
      <c r="U588" s="23"/>
      <c r="V588" s="23"/>
      <c r="W588" s="23" t="s">
        <v>102</v>
      </c>
      <c r="X588" s="23"/>
      <c r="Y588" s="23"/>
      <c r="Z588" s="23" t="str">
        <f>TEXT(0.03,"#,##0.#######")</f>
        <v>0.03</v>
      </c>
      <c r="AA588" s="23"/>
      <c r="AB588" s="23"/>
      <c r="AC588" s="23"/>
      <c r="AD588" s="23" t="s">
        <v>243</v>
      </c>
      <c r="AE588" s="23"/>
      <c r="AF588" s="23"/>
      <c r="AG588" s="23" t="s">
        <v>103</v>
      </c>
      <c r="AH588" s="23"/>
      <c r="AI588" s="23" t="str">
        <f>TEXT(TRUNC(P588*Z588,1),"#,##0.#")</f>
        <v>4,148.7</v>
      </c>
      <c r="AJ588" s="23"/>
      <c r="AK588" s="23"/>
      <c r="AL588" s="23"/>
      <c r="AM588" s="23"/>
      <c r="AN588" s="23"/>
      <c r="AO588" s="23"/>
      <c r="AP588" s="29"/>
      <c r="AQ588" s="29"/>
      <c r="AR588" s="29"/>
      <c r="AS588" s="29"/>
      <c r="AT588" s="29"/>
      <c r="AU588" s="29"/>
      <c r="AV588" s="29"/>
      <c r="AW588" s="23"/>
      <c r="AX588" s="29"/>
      <c r="AY588" s="29"/>
      <c r="AZ588" s="29"/>
      <c r="BA588" s="29"/>
      <c r="BB588" s="29"/>
      <c r="BC588" s="29"/>
      <c r="BD588" s="29"/>
      <c r="BE588" s="29"/>
      <c r="BF588" s="29"/>
      <c r="BG588" s="29"/>
      <c r="BH588" s="29"/>
      <c r="BI588" s="29"/>
      <c r="BJ588" s="29"/>
      <c r="BK588" s="29"/>
      <c r="BL588" s="29"/>
      <c r="BM588" s="29"/>
      <c r="BN588" s="29"/>
      <c r="BO588" s="29"/>
      <c r="BP588" s="29"/>
      <c r="BQ588" s="29"/>
      <c r="BR588" s="29"/>
      <c r="BS588" s="29"/>
      <c r="BT588" s="29"/>
      <c r="BU588" s="29"/>
      <c r="BV588" s="23"/>
      <c r="BW588" s="23"/>
      <c r="BX588" s="23"/>
      <c r="BY588" s="23"/>
      <c r="BZ588" s="23"/>
      <c r="CA588" s="23"/>
      <c r="CB588" s="23"/>
      <c r="CC588" s="23"/>
      <c r="CD588" s="23"/>
      <c r="CE588" s="23"/>
      <c r="CF588" s="23"/>
      <c r="CG588" s="23"/>
      <c r="CH588" s="27"/>
      <c r="CI588" s="27" t="str">
        <f>AI588</f>
        <v>4,148.7</v>
      </c>
      <c r="CJ588" s="27"/>
      <c r="CK588" s="28"/>
      <c r="CL588" s="39"/>
    </row>
    <row r="589" spans="1:90" ht="14.25" customHeight="1" x14ac:dyDescent="0.25">
      <c r="A589" s="20"/>
      <c r="B589" s="31"/>
      <c r="C589" s="30"/>
      <c r="D589" s="23"/>
      <c r="E589" s="23"/>
      <c r="F589" s="23"/>
      <c r="G589" s="23" t="s">
        <v>340</v>
      </c>
      <c r="H589" s="23"/>
      <c r="I589" s="23"/>
      <c r="J589" s="23"/>
      <c r="K589" s="23"/>
      <c r="L589" s="23"/>
      <c r="M589" s="23"/>
      <c r="N589" s="23" t="s">
        <v>121</v>
      </c>
      <c r="O589" s="23" t="s">
        <v>341</v>
      </c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  <c r="AY589" s="23"/>
      <c r="AZ589" s="29"/>
      <c r="BA589" s="23"/>
      <c r="BB589" s="23"/>
      <c r="BC589" s="29"/>
      <c r="BD589" s="29"/>
      <c r="BE589" s="29"/>
      <c r="BF589" s="29"/>
      <c r="BG589" s="29"/>
      <c r="BH589" s="29"/>
      <c r="BI589" s="23"/>
      <c r="BJ589" s="23"/>
      <c r="BK589" s="23"/>
      <c r="BL589" s="23"/>
      <c r="BM589" s="23"/>
      <c r="BN589" s="23"/>
      <c r="BO589" s="23"/>
      <c r="BP589" s="23"/>
      <c r="BQ589" s="23"/>
      <c r="BR589" s="29"/>
      <c r="BS589" s="29"/>
      <c r="BT589" s="29"/>
      <c r="BU589" s="29"/>
      <c r="BV589" s="23"/>
      <c r="BW589" s="23"/>
      <c r="BX589" s="23"/>
      <c r="BY589" s="23"/>
      <c r="BZ589" s="23"/>
      <c r="CA589" s="23"/>
      <c r="CB589" s="23"/>
      <c r="CC589" s="23"/>
      <c r="CD589" s="23"/>
      <c r="CE589" s="23"/>
      <c r="CF589" s="23"/>
      <c r="CG589" s="23"/>
      <c r="CH589" s="27"/>
      <c r="CI589" s="27"/>
      <c r="CJ589" s="27"/>
      <c r="CK589" s="28"/>
      <c r="CL589" s="39"/>
    </row>
    <row r="590" spans="1:90" ht="14.25" customHeight="1" x14ac:dyDescent="0.25">
      <c r="A590" s="20"/>
      <c r="B590" s="31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3" t="s">
        <v>96</v>
      </c>
      <c r="O590" s="23" t="str">
        <f>TEXT(TRUNC(AI587,1),"#,##0.#")</f>
        <v>23,756.</v>
      </c>
      <c r="P590" s="23"/>
      <c r="Q590" s="23"/>
      <c r="R590" s="23"/>
      <c r="S590" s="23"/>
      <c r="T590" s="23" t="s">
        <v>97</v>
      </c>
      <c r="U590" s="23"/>
      <c r="V590" s="23"/>
      <c r="W590" s="23" t="str">
        <f>TEXT(TRUNC(AI588,1),"#,##0.#")</f>
        <v>4,148.7</v>
      </c>
      <c r="X590" s="23"/>
      <c r="Y590" s="23"/>
      <c r="Z590" s="34"/>
      <c r="AA590" s="34"/>
      <c r="AB590" s="23" t="s">
        <v>101</v>
      </c>
      <c r="AC590" s="23"/>
      <c r="AD590" s="23" t="s">
        <v>102</v>
      </c>
      <c r="AE590" s="23"/>
      <c r="AF590" s="23"/>
      <c r="AG590" s="23" t="str">
        <f>TEXT(0.01,"#,##0.#######")</f>
        <v>0.01</v>
      </c>
      <c r="AH590" s="23"/>
      <c r="AI590" s="23"/>
      <c r="AJ590" s="23"/>
      <c r="AK590" s="23" t="s">
        <v>103</v>
      </c>
      <c r="AL590" s="23"/>
      <c r="AM590" s="23"/>
      <c r="AN590" s="23" t="str">
        <f>TEXT(TRUNC((O590+W590)*AG590,1),"#,##0.#")</f>
        <v>279.</v>
      </c>
      <c r="AO590" s="23"/>
      <c r="AP590" s="23"/>
      <c r="AQ590" s="23"/>
      <c r="AR590" s="23" t="s">
        <v>288</v>
      </c>
      <c r="AS590" s="23"/>
      <c r="AT590" s="23"/>
      <c r="AU590" s="23"/>
      <c r="AV590" s="23"/>
      <c r="AW590" s="23"/>
      <c r="AX590" s="23"/>
      <c r="AY590" s="23"/>
      <c r="AZ590" s="23"/>
      <c r="BA590" s="23"/>
      <c r="BB590" s="23"/>
      <c r="BC590" s="23"/>
      <c r="BD590" s="23"/>
      <c r="BE590" s="23"/>
      <c r="BF590" s="23"/>
      <c r="BG590" s="23"/>
      <c r="BH590" s="23"/>
      <c r="BI590" s="23"/>
      <c r="BJ590" s="23"/>
      <c r="BK590" s="23"/>
      <c r="BL590" s="23"/>
      <c r="BM590" s="23"/>
      <c r="BN590" s="23"/>
      <c r="BO590" s="23"/>
      <c r="BP590" s="23"/>
      <c r="BQ590" s="23"/>
      <c r="BR590" s="23"/>
      <c r="BS590" s="23"/>
      <c r="BT590" s="23"/>
      <c r="BU590" s="23"/>
      <c r="BV590" s="23"/>
      <c r="BW590" s="23"/>
      <c r="BX590" s="23"/>
      <c r="BY590" s="23"/>
      <c r="BZ590" s="23"/>
      <c r="CA590" s="23"/>
      <c r="CB590" s="23"/>
      <c r="CC590" s="23"/>
      <c r="CD590" s="23"/>
      <c r="CE590" s="23"/>
      <c r="CF590" s="23"/>
      <c r="CG590" s="23"/>
      <c r="CH590" s="27"/>
      <c r="CI590" s="27"/>
      <c r="CJ590" s="27"/>
      <c r="CK590" s="28" t="str">
        <f>AN590</f>
        <v>279.</v>
      </c>
      <c r="CL590" s="39"/>
    </row>
    <row r="591" spans="1:90" ht="14.25" customHeight="1" x14ac:dyDescent="0.25">
      <c r="A591" s="20"/>
      <c r="B591" s="31"/>
      <c r="C591" s="30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  <c r="AQ591" s="29"/>
      <c r="AR591" s="29"/>
      <c r="AS591" s="29"/>
      <c r="AT591" s="29"/>
      <c r="AU591" s="29"/>
      <c r="AV591" s="29"/>
      <c r="AW591" s="29"/>
      <c r="AX591" s="23"/>
      <c r="AY591" s="23"/>
      <c r="AZ591" s="23"/>
      <c r="BA591" s="29"/>
      <c r="BB591" s="29"/>
      <c r="BC591" s="29"/>
      <c r="BD591" s="29"/>
      <c r="BE591" s="29"/>
      <c r="BF591" s="29"/>
      <c r="BG591" s="29"/>
      <c r="BH591" s="29"/>
      <c r="BI591" s="29"/>
      <c r="BJ591" s="29"/>
      <c r="BK591" s="29"/>
      <c r="BL591" s="29"/>
      <c r="BM591" s="29"/>
      <c r="BN591" s="29"/>
      <c r="BO591" s="29"/>
      <c r="BP591" s="29"/>
      <c r="BQ591" s="29"/>
      <c r="BR591" s="29"/>
      <c r="BS591" s="29"/>
      <c r="BT591" s="29"/>
      <c r="BU591" s="29"/>
      <c r="BV591" s="29"/>
      <c r="BW591" s="29"/>
      <c r="BX591" s="29"/>
      <c r="BY591" s="29"/>
      <c r="BZ591" s="29"/>
      <c r="CA591" s="29"/>
      <c r="CB591" s="29"/>
      <c r="CC591" s="23"/>
      <c r="CD591" s="23"/>
      <c r="CE591" s="23"/>
      <c r="CF591" s="23"/>
      <c r="CG591" s="23"/>
      <c r="CH591" s="27"/>
      <c r="CI591" s="27"/>
      <c r="CJ591" s="27"/>
      <c r="CK591" s="28"/>
      <c r="CL591" s="39"/>
    </row>
    <row r="592" spans="1:90" ht="14.25" customHeight="1" x14ac:dyDescent="0.25">
      <c r="A592" s="20"/>
      <c r="B592" s="31"/>
      <c r="C592" s="30"/>
      <c r="D592" s="23" t="s">
        <v>168</v>
      </c>
      <c r="E592" s="23"/>
      <c r="F592" s="23"/>
      <c r="G592" s="23" t="s">
        <v>123</v>
      </c>
      <c r="H592" s="23"/>
      <c r="I592" s="23"/>
      <c r="J592" s="23"/>
      <c r="K592" s="23"/>
      <c r="L592" s="23"/>
      <c r="M592" s="23"/>
      <c r="N592" s="23" t="s">
        <v>121</v>
      </c>
      <c r="O592" s="23" t="s">
        <v>344</v>
      </c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9"/>
      <c r="AX592" s="29"/>
      <c r="AY592" s="29"/>
      <c r="AZ592" s="29"/>
      <c r="BA592" s="29"/>
      <c r="BB592" s="29"/>
      <c r="BC592" s="29"/>
      <c r="BD592" s="29"/>
      <c r="BE592" s="29"/>
      <c r="BF592" s="29"/>
      <c r="BG592" s="29"/>
      <c r="BH592" s="29"/>
      <c r="BI592" s="29"/>
      <c r="BJ592" s="29"/>
      <c r="BK592" s="29"/>
      <c r="BL592" s="29"/>
      <c r="BM592" s="29"/>
      <c r="BN592" s="29"/>
      <c r="BO592" s="29"/>
      <c r="BP592" s="29"/>
      <c r="BQ592" s="29"/>
      <c r="BR592" s="29"/>
      <c r="BS592" s="29"/>
      <c r="BT592" s="29"/>
      <c r="BU592" s="29"/>
      <c r="BV592" s="29"/>
      <c r="BW592" s="29"/>
      <c r="BX592" s="29"/>
      <c r="BY592" s="29"/>
      <c r="BZ592" s="29"/>
      <c r="CA592" s="29"/>
      <c r="CB592" s="29"/>
      <c r="CC592" s="23"/>
      <c r="CD592" s="23"/>
      <c r="CE592" s="23"/>
      <c r="CF592" s="23"/>
      <c r="CG592" s="23"/>
      <c r="CH592" s="27"/>
      <c r="CI592" s="27"/>
      <c r="CJ592" s="27"/>
      <c r="CK592" s="28"/>
      <c r="CL592" s="39"/>
    </row>
    <row r="593" spans="1:90" ht="14.25" customHeight="1" x14ac:dyDescent="0.25">
      <c r="A593" s="20"/>
      <c r="B593" s="31"/>
      <c r="C593" s="30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3" t="s">
        <v>96</v>
      </c>
      <c r="O593" s="23" t="str">
        <f>TEXT(TRUNC(AI568,1),"#,##0.#")</f>
        <v>5,721.6</v>
      </c>
      <c r="P593" s="23"/>
      <c r="Q593" s="23"/>
      <c r="R593" s="23"/>
      <c r="S593" s="23"/>
      <c r="T593" s="23" t="s">
        <v>97</v>
      </c>
      <c r="U593" s="23"/>
      <c r="V593" s="23"/>
      <c r="W593" s="23" t="str">
        <f>TEXT(TRUNC(AI569,1),"#,##0.#")</f>
        <v>11,443.3</v>
      </c>
      <c r="X593" s="23"/>
      <c r="Y593" s="23"/>
      <c r="Z593" s="34"/>
      <c r="AA593" s="34"/>
      <c r="AB593" s="23" t="s">
        <v>101</v>
      </c>
      <c r="AC593" s="23"/>
      <c r="AD593" s="23" t="s">
        <v>102</v>
      </c>
      <c r="AE593" s="23"/>
      <c r="AF593" s="23"/>
      <c r="AG593" s="23" t="str">
        <f>TEXT(0.38,"#,##0.#######")</f>
        <v>0.38</v>
      </c>
      <c r="AH593" s="23"/>
      <c r="AI593" s="23"/>
      <c r="AJ593" s="23"/>
      <c r="AK593" s="23" t="s">
        <v>103</v>
      </c>
      <c r="AL593" s="23"/>
      <c r="AM593" s="23"/>
      <c r="AN593" s="23" t="str">
        <f>TEXT(TRUNC((O593+W593)*AG593,1),"#,##0.#")</f>
        <v>6,522.6</v>
      </c>
      <c r="AO593" s="23"/>
      <c r="AP593" s="23"/>
      <c r="AQ593" s="23"/>
      <c r="AR593" s="23" t="s">
        <v>288</v>
      </c>
      <c r="AS593" s="23"/>
      <c r="AT593" s="23"/>
      <c r="AU593" s="23"/>
      <c r="AV593" s="23"/>
      <c r="AW593" s="29"/>
      <c r="AX593" s="23"/>
      <c r="AY593" s="29"/>
      <c r="AZ593" s="29"/>
      <c r="BA593" s="29"/>
      <c r="BB593" s="23"/>
      <c r="BC593" s="23"/>
      <c r="BD593" s="23"/>
      <c r="BE593" s="23"/>
      <c r="BF593" s="23"/>
      <c r="BG593" s="29"/>
      <c r="BH593" s="29"/>
      <c r="BI593" s="29"/>
      <c r="BJ593" s="29"/>
      <c r="BK593" s="29"/>
      <c r="BL593" s="29"/>
      <c r="BM593" s="29"/>
      <c r="BN593" s="29"/>
      <c r="BO593" s="29"/>
      <c r="BP593" s="29"/>
      <c r="BQ593" s="29"/>
      <c r="BR593" s="29"/>
      <c r="BS593" s="29"/>
      <c r="BT593" s="29"/>
      <c r="BU593" s="29"/>
      <c r="BV593" s="29"/>
      <c r="BW593" s="29"/>
      <c r="BX593" s="29"/>
      <c r="BY593" s="29"/>
      <c r="BZ593" s="29"/>
      <c r="CA593" s="29"/>
      <c r="CB593" s="29"/>
      <c r="CC593" s="23"/>
      <c r="CD593" s="23"/>
      <c r="CE593" s="23"/>
      <c r="CF593" s="23"/>
      <c r="CG593" s="23"/>
      <c r="CH593" s="27"/>
      <c r="CI593" s="27"/>
      <c r="CJ593" s="27" t="str">
        <f>AN593</f>
        <v>6,522.6</v>
      </c>
      <c r="CK593" s="28"/>
      <c r="CL593" s="39"/>
    </row>
    <row r="594" spans="1:90" ht="14.25" customHeight="1" x14ac:dyDescent="0.25">
      <c r="A594" s="20"/>
      <c r="B594" s="31"/>
      <c r="C594" s="30"/>
      <c r="D594" s="29"/>
      <c r="E594" s="29"/>
      <c r="F594" s="29"/>
      <c r="G594" s="23" t="s">
        <v>253</v>
      </c>
      <c r="H594" s="23"/>
      <c r="I594" s="23"/>
      <c r="J594" s="23"/>
      <c r="K594" s="23"/>
      <c r="L594" s="23"/>
      <c r="M594" s="23"/>
      <c r="N594" s="23" t="s">
        <v>121</v>
      </c>
      <c r="O594" s="23" t="s">
        <v>345</v>
      </c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9"/>
      <c r="AX594" s="23"/>
      <c r="AY594" s="29"/>
      <c r="AZ594" s="29"/>
      <c r="BA594" s="23"/>
      <c r="BB594" s="23"/>
      <c r="BC594" s="23"/>
      <c r="BD594" s="23"/>
      <c r="BE594" s="23"/>
      <c r="BF594" s="23"/>
      <c r="BG594" s="23"/>
      <c r="BH594" s="23"/>
      <c r="BI594" s="23"/>
      <c r="BJ594" s="23"/>
      <c r="BK594" s="23"/>
      <c r="BL594" s="29"/>
      <c r="BM594" s="29"/>
      <c r="BN594" s="29"/>
      <c r="BO594" s="29"/>
      <c r="BP594" s="29"/>
      <c r="BQ594" s="29"/>
      <c r="BR594" s="29"/>
      <c r="BS594" s="29"/>
      <c r="BT594" s="29"/>
      <c r="BU594" s="29"/>
      <c r="BV594" s="29"/>
      <c r="BW594" s="29"/>
      <c r="BX594" s="29"/>
      <c r="BY594" s="29"/>
      <c r="BZ594" s="29"/>
      <c r="CA594" s="29"/>
      <c r="CB594" s="29"/>
      <c r="CC594" s="23"/>
      <c r="CD594" s="23"/>
      <c r="CE594" s="23"/>
      <c r="CF594" s="23"/>
      <c r="CG594" s="23"/>
      <c r="CH594" s="27"/>
      <c r="CI594" s="27"/>
      <c r="CJ594" s="27"/>
      <c r="CK594" s="28"/>
      <c r="CL594" s="39"/>
    </row>
    <row r="595" spans="1:90" ht="14.25" customHeight="1" x14ac:dyDescent="0.25">
      <c r="A595" s="20"/>
      <c r="B595" s="31"/>
      <c r="C595" s="30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3"/>
      <c r="O595" s="23" t="str">
        <f>TEXT(TRUNC(AN593,1),"#,##0.#")</f>
        <v>6,522.6</v>
      </c>
      <c r="P595" s="23"/>
      <c r="Q595" s="23"/>
      <c r="R595" s="23"/>
      <c r="S595" s="23"/>
      <c r="T595" s="23"/>
      <c r="U595" s="23"/>
      <c r="V595" s="23" t="s">
        <v>102</v>
      </c>
      <c r="W595" s="23"/>
      <c r="X595" s="23"/>
      <c r="Y595" s="23" t="str">
        <f>TEXT(0.09,"#,##0.#######")</f>
        <v>0.09</v>
      </c>
      <c r="Z595" s="23"/>
      <c r="AA595" s="23"/>
      <c r="AB595" s="23"/>
      <c r="AC595" s="23" t="s">
        <v>103</v>
      </c>
      <c r="AD595" s="23"/>
      <c r="AE595" s="23"/>
      <c r="AF595" s="23" t="str">
        <f>TEXT(TRUNC(O595*Y595,1),"#,##0.#")</f>
        <v>587.</v>
      </c>
      <c r="AG595" s="23"/>
      <c r="AH595" s="23"/>
      <c r="AI595" s="23"/>
      <c r="AJ595" s="23" t="s">
        <v>288</v>
      </c>
      <c r="AK595" s="23"/>
      <c r="AL595" s="23"/>
      <c r="AM595" s="23"/>
      <c r="AN595" s="29"/>
      <c r="AO595" s="29"/>
      <c r="AP595" s="29"/>
      <c r="AQ595" s="29"/>
      <c r="AR595" s="29"/>
      <c r="AS595" s="29"/>
      <c r="AT595" s="29"/>
      <c r="AU595" s="29"/>
      <c r="AV595" s="23"/>
      <c r="AW595" s="29"/>
      <c r="AX595" s="23"/>
      <c r="AY595" s="29"/>
      <c r="AZ595" s="29"/>
      <c r="BA595" s="29"/>
      <c r="BB595" s="23"/>
      <c r="BC595" s="23"/>
      <c r="BD595" s="23"/>
      <c r="BE595" s="23"/>
      <c r="BF595" s="23"/>
      <c r="BG595" s="23"/>
      <c r="BH595" s="23"/>
      <c r="BI595" s="23"/>
      <c r="BJ595" s="23"/>
      <c r="BK595" s="23"/>
      <c r="BL595" s="23"/>
      <c r="BM595" s="23"/>
      <c r="BN595" s="23"/>
      <c r="BO595" s="23"/>
      <c r="BP595" s="23"/>
      <c r="BQ595" s="23"/>
      <c r="BR595" s="23"/>
      <c r="BS595" s="23"/>
      <c r="BT595" s="23"/>
      <c r="BU595" s="23"/>
      <c r="BV595" s="23"/>
      <c r="BW595" s="23"/>
      <c r="BX595" s="23"/>
      <c r="BY595" s="23"/>
      <c r="BZ595" s="23"/>
      <c r="CA595" s="23"/>
      <c r="CB595" s="23"/>
      <c r="CC595" s="23"/>
      <c r="CD595" s="23"/>
      <c r="CE595" s="23"/>
      <c r="CF595" s="23"/>
      <c r="CG595" s="23"/>
      <c r="CH595" s="27"/>
      <c r="CI595" s="27"/>
      <c r="CJ595" s="27" t="str">
        <f>AF595</f>
        <v>587.</v>
      </c>
      <c r="CK595" s="28"/>
      <c r="CL595" s="39"/>
    </row>
    <row r="596" spans="1:90" ht="14.25" customHeight="1" x14ac:dyDescent="0.25">
      <c r="A596" s="20"/>
      <c r="B596" s="31"/>
      <c r="C596" s="30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  <c r="AQ596" s="29"/>
      <c r="AR596" s="29"/>
      <c r="AS596" s="29"/>
      <c r="AT596" s="29"/>
      <c r="AU596" s="29"/>
      <c r="AV596" s="29"/>
      <c r="AW596" s="29"/>
      <c r="AX596" s="29"/>
      <c r="AY596" s="29"/>
      <c r="AZ596" s="29"/>
      <c r="BA596" s="29"/>
      <c r="BB596" s="29"/>
      <c r="BC596" s="29"/>
      <c r="BD596" s="29"/>
      <c r="BE596" s="29"/>
      <c r="BF596" s="29"/>
      <c r="BG596" s="29"/>
      <c r="BH596" s="29"/>
      <c r="BI596" s="29"/>
      <c r="BJ596" s="29"/>
      <c r="BK596" s="29"/>
      <c r="BL596" s="29"/>
      <c r="BM596" s="29"/>
      <c r="BN596" s="29"/>
      <c r="BO596" s="29"/>
      <c r="BP596" s="29"/>
      <c r="BQ596" s="29"/>
      <c r="BR596" s="29"/>
      <c r="BS596" s="29"/>
      <c r="BT596" s="29"/>
      <c r="BU596" s="29"/>
      <c r="BV596" s="29"/>
      <c r="BW596" s="29"/>
      <c r="BX596" s="29"/>
      <c r="BY596" s="29"/>
      <c r="BZ596" s="23"/>
      <c r="CA596" s="23"/>
      <c r="CB596" s="23"/>
      <c r="CC596" s="23"/>
      <c r="CD596" s="23"/>
      <c r="CE596" s="23"/>
      <c r="CF596" s="23"/>
      <c r="CG596" s="23"/>
      <c r="CH596" s="27"/>
      <c r="CI596" s="27"/>
      <c r="CJ596" s="27"/>
      <c r="CK596" s="28"/>
      <c r="CL596" s="39"/>
    </row>
    <row r="597" spans="1:90" ht="14.25" customHeight="1" x14ac:dyDescent="0.25">
      <c r="A597" s="20"/>
      <c r="B597" s="31"/>
      <c r="C597" s="30"/>
      <c r="D597" s="23" t="s">
        <v>237</v>
      </c>
      <c r="E597" s="23"/>
      <c r="F597" s="23"/>
      <c r="G597" s="23" t="s">
        <v>323</v>
      </c>
      <c r="H597" s="23"/>
      <c r="I597" s="23"/>
      <c r="J597" s="23"/>
      <c r="K597" s="23" t="s">
        <v>127</v>
      </c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9"/>
      <c r="AK597" s="29"/>
      <c r="AL597" s="29"/>
      <c r="AM597" s="29"/>
      <c r="AN597" s="29"/>
      <c r="AO597" s="29"/>
      <c r="AP597" s="29"/>
      <c r="AQ597" s="29"/>
      <c r="AR597" s="29"/>
      <c r="AS597" s="29"/>
      <c r="AT597" s="29"/>
      <c r="AU597" s="29"/>
      <c r="AV597" s="29"/>
      <c r="AW597" s="29"/>
      <c r="AX597" s="29"/>
      <c r="AY597" s="29"/>
      <c r="AZ597" s="29"/>
      <c r="BA597" s="29"/>
      <c r="BB597" s="29"/>
      <c r="BC597" s="29"/>
      <c r="BD597" s="29"/>
      <c r="BE597" s="29"/>
      <c r="BF597" s="29"/>
      <c r="BG597" s="29"/>
      <c r="BH597" s="29"/>
      <c r="BI597" s="29"/>
      <c r="BJ597" s="29"/>
      <c r="BK597" s="29"/>
      <c r="BL597" s="29"/>
      <c r="BM597" s="29"/>
      <c r="BN597" s="29"/>
      <c r="BO597" s="29"/>
      <c r="BP597" s="29"/>
      <c r="BQ597" s="29"/>
      <c r="BR597" s="29"/>
      <c r="BS597" s="29"/>
      <c r="BT597" s="29"/>
      <c r="BU597" s="29"/>
      <c r="BV597" s="29"/>
      <c r="BW597" s="29"/>
      <c r="BX597" s="29"/>
      <c r="BY597" s="29"/>
      <c r="BZ597" s="23"/>
      <c r="CA597" s="23"/>
      <c r="CB597" s="23"/>
      <c r="CC597" s="23"/>
      <c r="CD597" s="23"/>
      <c r="CE597" s="23"/>
      <c r="CF597" s="23"/>
      <c r="CG597" s="23"/>
      <c r="CH597" s="27"/>
      <c r="CI597" s="27"/>
      <c r="CJ597" s="27"/>
      <c r="CK597" s="28"/>
      <c r="CL597" s="39"/>
    </row>
    <row r="598" spans="1:90" ht="14.25" customHeight="1" x14ac:dyDescent="0.25">
      <c r="A598" s="20"/>
      <c r="B598" s="31"/>
      <c r="C598" s="30"/>
      <c r="D598" s="23"/>
      <c r="E598" s="23"/>
      <c r="F598" s="23"/>
      <c r="G598" s="23"/>
      <c r="H598" s="23" t="s">
        <v>120</v>
      </c>
      <c r="I598" s="23"/>
      <c r="J598" s="23"/>
      <c r="K598" s="23"/>
      <c r="L598" s="23"/>
      <c r="M598" s="23"/>
      <c r="N598" s="23"/>
      <c r="O598" s="23" t="s">
        <v>121</v>
      </c>
      <c r="P598" s="23"/>
      <c r="Q598" s="23" t="str">
        <f>AI587</f>
        <v>23,756.</v>
      </c>
      <c r="R598" s="23"/>
      <c r="S598" s="23"/>
      <c r="T598" s="23"/>
      <c r="U598" s="23"/>
      <c r="V598" s="23"/>
      <c r="W598" s="23"/>
      <c r="X598" s="23" t="s">
        <v>97</v>
      </c>
      <c r="Y598" s="23"/>
      <c r="Z598" s="23" t="str">
        <f>AI588</f>
        <v>4,148.7</v>
      </c>
      <c r="AA598" s="23"/>
      <c r="AB598" s="23"/>
      <c r="AC598" s="23"/>
      <c r="AD598" s="23"/>
      <c r="AE598" s="23"/>
      <c r="AF598" s="23" t="s">
        <v>103</v>
      </c>
      <c r="AG598" s="23"/>
      <c r="AH598" s="23"/>
      <c r="AI598" s="23" t="str">
        <f>TEXT(TRUNC(Q598+Z598,0),"#,##0")</f>
        <v>27,904</v>
      </c>
      <c r="AJ598" s="23"/>
      <c r="AK598" s="23"/>
      <c r="AL598" s="23"/>
      <c r="AM598" s="23"/>
      <c r="AN598" s="29"/>
      <c r="AO598" s="29"/>
      <c r="AP598" s="29"/>
      <c r="AQ598" s="29"/>
      <c r="AR598" s="29"/>
      <c r="AS598" s="29"/>
      <c r="AT598" s="29"/>
      <c r="AU598" s="29"/>
      <c r="AV598" s="29"/>
      <c r="AW598" s="29"/>
      <c r="AX598" s="29"/>
      <c r="AY598" s="29"/>
      <c r="AZ598" s="29"/>
      <c r="BA598" s="29"/>
      <c r="BB598" s="23"/>
      <c r="BC598" s="23"/>
      <c r="BD598" s="23"/>
      <c r="BE598" s="23"/>
      <c r="BF598" s="23"/>
      <c r="BG598" s="23"/>
      <c r="BH598" s="23"/>
      <c r="BI598" s="23"/>
      <c r="BJ598" s="23"/>
      <c r="BK598" s="23"/>
      <c r="BL598" s="23"/>
      <c r="BM598" s="23"/>
      <c r="BN598" s="23"/>
      <c r="BO598" s="23"/>
      <c r="BP598" s="23"/>
      <c r="BQ598" s="23"/>
      <c r="BR598" s="23"/>
      <c r="BS598" s="23"/>
      <c r="BT598" s="23"/>
      <c r="BU598" s="23"/>
      <c r="BV598" s="23"/>
      <c r="BW598" s="23"/>
      <c r="BX598" s="23"/>
      <c r="BY598" s="23"/>
      <c r="BZ598" s="23"/>
      <c r="CA598" s="23"/>
      <c r="CB598" s="23"/>
      <c r="CC598" s="23"/>
      <c r="CD598" s="23"/>
      <c r="CE598" s="23"/>
      <c r="CF598" s="23"/>
      <c r="CG598" s="23"/>
      <c r="CH598" s="27"/>
      <c r="CI598" s="27"/>
      <c r="CJ598" s="27"/>
      <c r="CK598" s="28"/>
      <c r="CL598" s="39"/>
    </row>
    <row r="599" spans="1:90" ht="14.25" customHeight="1" x14ac:dyDescent="0.25">
      <c r="A599" s="20"/>
      <c r="B599" s="22"/>
      <c r="C599" s="23"/>
      <c r="D599" s="23"/>
      <c r="E599" s="23"/>
      <c r="F599" s="23"/>
      <c r="G599" s="23"/>
      <c r="H599" s="23" t="s">
        <v>123</v>
      </c>
      <c r="I599" s="23"/>
      <c r="J599" s="23"/>
      <c r="K599" s="23"/>
      <c r="L599" s="23"/>
      <c r="M599" s="23"/>
      <c r="N599" s="23"/>
      <c r="O599" s="23" t="s">
        <v>121</v>
      </c>
      <c r="P599" s="23"/>
      <c r="Q599" s="23" t="str">
        <f>AN593</f>
        <v>6,522.6</v>
      </c>
      <c r="R599" s="23"/>
      <c r="S599" s="23"/>
      <c r="T599" s="23"/>
      <c r="U599" s="23"/>
      <c r="V599" s="23"/>
      <c r="W599" s="23"/>
      <c r="X599" s="23" t="s">
        <v>97</v>
      </c>
      <c r="Y599" s="23"/>
      <c r="Z599" s="23" t="str">
        <f>AF595</f>
        <v>587.</v>
      </c>
      <c r="AA599" s="23"/>
      <c r="AB599" s="23"/>
      <c r="AC599" s="23"/>
      <c r="AD599" s="23"/>
      <c r="AE599" s="23"/>
      <c r="AF599" s="23" t="s">
        <v>103</v>
      </c>
      <c r="AG599" s="23"/>
      <c r="AH599" s="23"/>
      <c r="AI599" s="23" t="str">
        <f>TEXT(TRUNC(Q599+Z599,0),"#,##0")</f>
        <v>7,109</v>
      </c>
      <c r="AJ599" s="23"/>
      <c r="AK599" s="23"/>
      <c r="AL599" s="23"/>
      <c r="AM599" s="23"/>
      <c r="AN599" s="29"/>
      <c r="AO599" s="29"/>
      <c r="AP599" s="29"/>
      <c r="AQ599" s="29"/>
      <c r="AR599" s="29"/>
      <c r="AS599" s="29"/>
      <c r="AT599" s="29"/>
      <c r="AU599" s="29"/>
      <c r="AV599" s="29"/>
      <c r="AW599" s="29"/>
      <c r="AX599" s="29"/>
      <c r="AY599" s="29"/>
      <c r="AZ599" s="29"/>
      <c r="BA599" s="23"/>
      <c r="BB599" s="23"/>
      <c r="BC599" s="23"/>
      <c r="BD599" s="23"/>
      <c r="BE599" s="23"/>
      <c r="BF599" s="23"/>
      <c r="BG599" s="23"/>
      <c r="BH599" s="23"/>
      <c r="BI599" s="23"/>
      <c r="BJ599" s="23"/>
      <c r="BK599" s="23"/>
      <c r="BL599" s="23"/>
      <c r="BM599" s="23"/>
      <c r="BN599" s="23"/>
      <c r="BO599" s="23"/>
      <c r="BP599" s="23"/>
      <c r="BQ599" s="23"/>
      <c r="BR599" s="23"/>
      <c r="BS599" s="23"/>
      <c r="BT599" s="23"/>
      <c r="BU599" s="23"/>
      <c r="BV599" s="23"/>
      <c r="BW599" s="23"/>
      <c r="BX599" s="23"/>
      <c r="BY599" s="23"/>
      <c r="BZ599" s="23"/>
      <c r="CA599" s="23"/>
      <c r="CB599" s="23"/>
      <c r="CC599" s="23"/>
      <c r="CD599" s="23"/>
      <c r="CE599" s="23"/>
      <c r="CF599" s="23"/>
      <c r="CG599" s="23"/>
      <c r="CH599" s="27"/>
      <c r="CI599" s="27"/>
      <c r="CJ599" s="28"/>
      <c r="CK599" s="28"/>
      <c r="CL599" s="39"/>
    </row>
    <row r="600" spans="1:90" ht="14.25" customHeight="1" x14ac:dyDescent="0.25">
      <c r="A600" s="20"/>
      <c r="B600" s="22"/>
      <c r="C600" s="23"/>
      <c r="D600" s="23"/>
      <c r="E600" s="23"/>
      <c r="F600" s="23"/>
      <c r="G600" s="23"/>
      <c r="H600" s="23" t="s">
        <v>124</v>
      </c>
      <c r="I600" s="23"/>
      <c r="J600" s="23"/>
      <c r="K600" s="23"/>
      <c r="L600" s="23" t="s">
        <v>125</v>
      </c>
      <c r="M600" s="23"/>
      <c r="N600" s="23"/>
      <c r="O600" s="23" t="s">
        <v>121</v>
      </c>
      <c r="P600" s="23"/>
      <c r="Q600" s="23" t="str">
        <f>AN590</f>
        <v>279.</v>
      </c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 t="s">
        <v>103</v>
      </c>
      <c r="AG600" s="23"/>
      <c r="AH600" s="23"/>
      <c r="AI600" s="23" t="str">
        <f>TEXT(TRUNC(Q600,0),"#,##0")</f>
        <v>279</v>
      </c>
      <c r="AJ600" s="23"/>
      <c r="AK600" s="23"/>
      <c r="AL600" s="23"/>
      <c r="AM600" s="23"/>
      <c r="AN600" s="23"/>
      <c r="AO600" s="29"/>
      <c r="AP600" s="29"/>
      <c r="AQ600" s="29"/>
      <c r="AR600" s="29"/>
      <c r="AS600" s="29"/>
      <c r="AT600" s="29"/>
      <c r="AU600" s="29"/>
      <c r="AV600" s="29"/>
      <c r="AW600" s="23"/>
      <c r="AX600" s="23"/>
      <c r="AY600" s="23"/>
      <c r="AZ600" s="23"/>
      <c r="BA600" s="23"/>
      <c r="BB600" s="23"/>
      <c r="BC600" s="23"/>
      <c r="BD600" s="23"/>
      <c r="BE600" s="23"/>
      <c r="BF600" s="23"/>
      <c r="BG600" s="23"/>
      <c r="BH600" s="23"/>
      <c r="BI600" s="23"/>
      <c r="BJ600" s="23"/>
      <c r="BK600" s="23"/>
      <c r="BL600" s="23"/>
      <c r="BM600" s="23"/>
      <c r="BN600" s="23"/>
      <c r="BO600" s="23"/>
      <c r="BP600" s="23"/>
      <c r="BQ600" s="23"/>
      <c r="BR600" s="23"/>
      <c r="BS600" s="23"/>
      <c r="BT600" s="23"/>
      <c r="BU600" s="23"/>
      <c r="BV600" s="23"/>
      <c r="BW600" s="23"/>
      <c r="BX600" s="23"/>
      <c r="BY600" s="23"/>
      <c r="BZ600" s="23"/>
      <c r="CA600" s="23"/>
      <c r="CB600" s="23"/>
      <c r="CC600" s="23"/>
      <c r="CD600" s="23"/>
      <c r="CE600" s="23"/>
      <c r="CF600" s="23"/>
      <c r="CG600" s="23"/>
      <c r="CH600" s="27"/>
      <c r="CI600" s="27"/>
      <c r="CJ600" s="28"/>
      <c r="CK600" s="28"/>
      <c r="CL600" s="39"/>
    </row>
    <row r="601" spans="1:90" ht="14.25" customHeight="1" x14ac:dyDescent="0.25">
      <c r="A601" s="20"/>
      <c r="B601" s="22"/>
      <c r="C601" s="23"/>
      <c r="D601" s="23"/>
      <c r="E601" s="23"/>
      <c r="F601" s="23"/>
      <c r="G601" s="23"/>
      <c r="H601" s="23" t="s">
        <v>126</v>
      </c>
      <c r="I601" s="23"/>
      <c r="J601" s="23"/>
      <c r="K601" s="23"/>
      <c r="L601" s="23" t="s">
        <v>127</v>
      </c>
      <c r="M601" s="23"/>
      <c r="N601" s="23"/>
      <c r="O601" s="23" t="s">
        <v>121</v>
      </c>
      <c r="P601" s="23"/>
      <c r="Q601" s="23" t="str">
        <f>TEXT(AI598+AI599+AI600,"#,##0")</f>
        <v>35,292</v>
      </c>
      <c r="R601" s="29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  <c r="AY601" s="23"/>
      <c r="AZ601" s="23"/>
      <c r="BA601" s="23"/>
      <c r="BB601" s="23"/>
      <c r="BC601" s="23"/>
      <c r="BD601" s="23"/>
      <c r="BE601" s="23"/>
      <c r="BF601" s="23"/>
      <c r="BG601" s="23"/>
      <c r="BH601" s="23"/>
      <c r="BI601" s="23"/>
      <c r="BJ601" s="23"/>
      <c r="BK601" s="23"/>
      <c r="BL601" s="23"/>
      <c r="BM601" s="23"/>
      <c r="BN601" s="23"/>
      <c r="BO601" s="23"/>
      <c r="BP601" s="23"/>
      <c r="BQ601" s="23"/>
      <c r="BR601" s="23"/>
      <c r="BS601" s="23"/>
      <c r="BT601" s="23"/>
      <c r="BU601" s="23"/>
      <c r="BV601" s="23"/>
      <c r="BW601" s="23"/>
      <c r="BX601" s="23"/>
      <c r="BY601" s="23"/>
      <c r="BZ601" s="23"/>
      <c r="CA601" s="23"/>
      <c r="CB601" s="23"/>
      <c r="CC601" s="23"/>
      <c r="CD601" s="23"/>
      <c r="CE601" s="23"/>
      <c r="CF601" s="23"/>
      <c r="CG601" s="23"/>
      <c r="CH601" s="27">
        <f>CI601+CJ601+CK601</f>
        <v>35292</v>
      </c>
      <c r="CI601" s="27" t="str">
        <f>AI598</f>
        <v>27,904</v>
      </c>
      <c r="CJ601" s="28" t="str">
        <f>AI599</f>
        <v>7,109</v>
      </c>
      <c r="CK601" s="28" t="str">
        <f>AI600</f>
        <v>279</v>
      </c>
      <c r="CL601" s="39"/>
    </row>
    <row r="602" spans="1:90" ht="14.25" customHeight="1" x14ac:dyDescent="0.25">
      <c r="A602" s="20"/>
      <c r="B602" s="22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9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  <c r="AY602" s="23"/>
      <c r="AZ602" s="23"/>
      <c r="BA602" s="23"/>
      <c r="BB602" s="23"/>
      <c r="BC602" s="23"/>
      <c r="BD602" s="23"/>
      <c r="BE602" s="23"/>
      <c r="BF602" s="23"/>
      <c r="BG602" s="23"/>
      <c r="BH602" s="23"/>
      <c r="BI602" s="23"/>
      <c r="BJ602" s="23"/>
      <c r="BK602" s="23"/>
      <c r="BL602" s="23"/>
      <c r="BM602" s="23"/>
      <c r="BN602" s="23"/>
      <c r="BO602" s="23"/>
      <c r="BP602" s="23"/>
      <c r="BQ602" s="23"/>
      <c r="BR602" s="23"/>
      <c r="BS602" s="23"/>
      <c r="BT602" s="23"/>
      <c r="BU602" s="23"/>
      <c r="BV602" s="23"/>
      <c r="BW602" s="23"/>
      <c r="BX602" s="23"/>
      <c r="BY602" s="23"/>
      <c r="BZ602" s="23"/>
      <c r="CA602" s="23"/>
      <c r="CB602" s="23"/>
      <c r="CC602" s="23"/>
      <c r="CD602" s="23"/>
      <c r="CE602" s="23"/>
      <c r="CF602" s="23"/>
      <c r="CG602" s="23"/>
      <c r="CH602" s="27"/>
      <c r="CI602" s="27"/>
      <c r="CJ602" s="28"/>
      <c r="CK602" s="28"/>
      <c r="CL602" s="39"/>
    </row>
    <row r="603" spans="1:90" ht="14.25" customHeight="1" x14ac:dyDescent="0.2">
      <c r="A603" s="20"/>
      <c r="B603" s="46" t="s">
        <v>346</v>
      </c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  <c r="AA603" s="47"/>
      <c r="AB603" s="47"/>
      <c r="AC603" s="47"/>
      <c r="AD603" s="47"/>
      <c r="AE603" s="47"/>
      <c r="AF603" s="47"/>
      <c r="AG603" s="47"/>
      <c r="AH603" s="47"/>
      <c r="AI603" s="47"/>
      <c r="AJ603" s="47"/>
      <c r="AK603" s="47"/>
      <c r="AL603" s="47"/>
      <c r="AM603" s="47"/>
      <c r="AN603" s="47"/>
      <c r="AO603" s="47"/>
      <c r="AP603" s="47"/>
      <c r="AQ603" s="47"/>
      <c r="AR603" s="47"/>
      <c r="AS603" s="47"/>
      <c r="AT603" s="47"/>
      <c r="AU603" s="47"/>
      <c r="AV603" s="47"/>
      <c r="AW603" s="47"/>
      <c r="AX603" s="47"/>
      <c r="AY603" s="47"/>
      <c r="AZ603" s="47"/>
      <c r="BA603" s="47"/>
      <c r="BB603" s="47"/>
      <c r="BC603" s="47"/>
      <c r="BD603" s="47"/>
      <c r="BE603" s="47"/>
      <c r="BF603" s="47"/>
      <c r="BG603" s="47"/>
      <c r="BH603" s="47"/>
      <c r="BI603" s="47"/>
      <c r="BJ603" s="47"/>
      <c r="BK603" s="47"/>
      <c r="BL603" s="47"/>
      <c r="BM603" s="47"/>
      <c r="BN603" s="47"/>
      <c r="BO603" s="47"/>
      <c r="BP603" s="47"/>
      <c r="BQ603" s="47"/>
      <c r="BR603" s="47"/>
      <c r="BS603" s="47"/>
      <c r="BT603" s="47"/>
      <c r="BU603" s="47"/>
      <c r="BV603" s="47"/>
      <c r="BW603" s="47"/>
      <c r="BX603" s="47"/>
      <c r="BY603" s="47"/>
      <c r="BZ603" s="47"/>
      <c r="CA603" s="47"/>
      <c r="CB603" s="47"/>
      <c r="CC603" s="47"/>
      <c r="CD603" s="47"/>
      <c r="CE603" s="47"/>
      <c r="CF603" s="47"/>
      <c r="CG603" s="47"/>
      <c r="CH603" s="48">
        <f>TRUNC(CI603+CJ603+CK603,0)</f>
        <v>30835</v>
      </c>
      <c r="CI603" s="48">
        <f>TRUNC(CI606+CI607,0)</f>
        <v>24362</v>
      </c>
      <c r="CJ603" s="49">
        <f>TRUNC(CJ612+CJ614,0)</f>
        <v>6230</v>
      </c>
      <c r="CK603" s="49">
        <f>TRUNC(CK609,0)</f>
        <v>243</v>
      </c>
      <c r="CL603" s="97">
        <v>631</v>
      </c>
    </row>
    <row r="604" spans="1:90" ht="14.25" customHeight="1" x14ac:dyDescent="0.25">
      <c r="A604" s="20"/>
      <c r="B604" s="31"/>
      <c r="C604" s="29"/>
      <c r="D604" s="23" t="s">
        <v>347</v>
      </c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  <c r="AQ604" s="29"/>
      <c r="AR604" s="29"/>
      <c r="AS604" s="29"/>
      <c r="AT604" s="29"/>
      <c r="AU604" s="29"/>
      <c r="AV604" s="29"/>
      <c r="AW604" s="29"/>
      <c r="AX604" s="29"/>
      <c r="AY604" s="29"/>
      <c r="AZ604" s="29"/>
      <c r="BA604" s="29"/>
      <c r="BB604" s="29"/>
      <c r="BC604" s="29"/>
      <c r="BD604" s="29"/>
      <c r="BE604" s="29"/>
      <c r="BF604" s="29"/>
      <c r="BG604" s="29"/>
      <c r="BH604" s="29"/>
      <c r="BI604" s="29"/>
      <c r="BJ604" s="29"/>
      <c r="BK604" s="29"/>
      <c r="BL604" s="29"/>
      <c r="BM604" s="29"/>
      <c r="BN604" s="29"/>
      <c r="BO604" s="29"/>
      <c r="BP604" s="29"/>
      <c r="BQ604" s="29"/>
      <c r="BR604" s="29"/>
      <c r="BS604" s="29"/>
      <c r="BT604" s="29"/>
      <c r="BU604" s="29"/>
      <c r="BV604" s="29"/>
      <c r="BW604" s="29"/>
      <c r="BX604" s="29"/>
      <c r="BY604" s="29"/>
      <c r="BZ604" s="29"/>
      <c r="CA604" s="29"/>
      <c r="CB604" s="29"/>
      <c r="CC604" s="29"/>
      <c r="CD604" s="29"/>
      <c r="CE604" s="29"/>
      <c r="CF604" s="29"/>
      <c r="CG604" s="29"/>
      <c r="CH604" s="27"/>
      <c r="CI604" s="27"/>
      <c r="CJ604" s="27"/>
      <c r="CK604" s="28"/>
      <c r="CL604" s="39" t="s">
        <v>335</v>
      </c>
    </row>
    <row r="605" spans="1:90" ht="14.25" customHeight="1" x14ac:dyDescent="0.2">
      <c r="A605" s="20"/>
      <c r="B605" s="31"/>
      <c r="C605" s="30"/>
      <c r="D605" s="23" t="s">
        <v>94</v>
      </c>
      <c r="E605" s="23"/>
      <c r="F605" s="23"/>
      <c r="G605" s="23" t="s">
        <v>161</v>
      </c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  <c r="AY605" s="23"/>
      <c r="AZ605" s="23"/>
      <c r="BA605" s="23"/>
      <c r="BB605" s="23"/>
      <c r="BC605" s="23"/>
      <c r="BD605" s="23"/>
      <c r="BE605" s="23"/>
      <c r="BF605" s="23"/>
      <c r="BG605" s="23"/>
      <c r="BH605" s="23"/>
      <c r="BI605" s="23"/>
      <c r="BJ605" s="23"/>
      <c r="BK605" s="23"/>
      <c r="BL605" s="23"/>
      <c r="BM605" s="23"/>
      <c r="BN605" s="23"/>
      <c r="BO605" s="23"/>
      <c r="BP605" s="23"/>
      <c r="BQ605" s="23"/>
      <c r="BR605" s="23"/>
      <c r="BS605" s="23"/>
      <c r="BT605" s="23"/>
      <c r="BU605" s="23"/>
      <c r="BV605" s="23"/>
      <c r="BW605" s="23"/>
      <c r="BX605" s="23"/>
      <c r="BY605" s="23"/>
      <c r="BZ605" s="23"/>
      <c r="CA605" s="23"/>
      <c r="CB605" s="23"/>
      <c r="CC605" s="23"/>
      <c r="CD605" s="23"/>
      <c r="CE605" s="23"/>
      <c r="CF605" s="23"/>
      <c r="CG605" s="23"/>
      <c r="CH605" s="27"/>
      <c r="CI605" s="27"/>
      <c r="CJ605" s="27"/>
      <c r="CK605" s="28"/>
      <c r="CL605" s="39"/>
    </row>
    <row r="606" spans="1:90" ht="14.25" customHeight="1" x14ac:dyDescent="0.25">
      <c r="A606" s="20"/>
      <c r="B606" s="31"/>
      <c r="C606" s="30"/>
      <c r="D606" s="23"/>
      <c r="E606" s="23"/>
      <c r="F606" s="23"/>
      <c r="G606" s="23" t="s">
        <v>339</v>
      </c>
      <c r="H606" s="23"/>
      <c r="I606" s="23"/>
      <c r="J606" s="23"/>
      <c r="K606" s="23"/>
      <c r="L606" s="23"/>
      <c r="M606" s="23"/>
      <c r="N606" s="23" t="s">
        <v>121</v>
      </c>
      <c r="O606" s="23"/>
      <c r="P606" s="23" t="str">
        <f>TEXT([1]노임및중기단가!I16,"#,##0")</f>
        <v>215,964</v>
      </c>
      <c r="Q606" s="23"/>
      <c r="R606" s="23"/>
      <c r="S606" s="23"/>
      <c r="T606" s="23"/>
      <c r="U606" s="23"/>
      <c r="V606" s="23"/>
      <c r="W606" s="23" t="s">
        <v>102</v>
      </c>
      <c r="X606" s="23"/>
      <c r="Y606" s="23"/>
      <c r="Z606" s="23" t="str">
        <f>TEXT(0.1,"#,##0.#######")</f>
        <v>0.1</v>
      </c>
      <c r="AA606" s="23"/>
      <c r="AB606" s="23"/>
      <c r="AC606" s="23"/>
      <c r="AD606" s="23" t="s">
        <v>243</v>
      </c>
      <c r="AE606" s="23"/>
      <c r="AF606" s="23"/>
      <c r="AG606" s="23" t="s">
        <v>103</v>
      </c>
      <c r="AH606" s="23"/>
      <c r="AI606" s="23" t="str">
        <f>TEXT(TRUNC(P606*Z606,1),"#,##0.#")</f>
        <v>21,596.4</v>
      </c>
      <c r="AJ606" s="23"/>
      <c r="AK606" s="23"/>
      <c r="AL606" s="23"/>
      <c r="AM606" s="29"/>
      <c r="AN606" s="29"/>
      <c r="AO606" s="29"/>
      <c r="AP606" s="29"/>
      <c r="AQ606" s="29"/>
      <c r="AR606" s="29"/>
      <c r="AS606" s="29"/>
      <c r="AT606" s="29"/>
      <c r="AU606" s="29"/>
      <c r="AV606" s="29"/>
      <c r="AW606" s="29"/>
      <c r="AX606" s="29"/>
      <c r="AY606" s="29"/>
      <c r="AZ606" s="29"/>
      <c r="BA606" s="29"/>
      <c r="BB606" s="29"/>
      <c r="BC606" s="29"/>
      <c r="BD606" s="29"/>
      <c r="BE606" s="29"/>
      <c r="BF606" s="29"/>
      <c r="BG606" s="29"/>
      <c r="BH606" s="29"/>
      <c r="BI606" s="29"/>
      <c r="BJ606" s="29"/>
      <c r="BK606" s="29"/>
      <c r="BL606" s="29"/>
      <c r="BM606" s="29"/>
      <c r="BN606" s="29"/>
      <c r="BO606" s="29"/>
      <c r="BP606" s="29"/>
      <c r="BQ606" s="29"/>
      <c r="BR606" s="29"/>
      <c r="BS606" s="29"/>
      <c r="BT606" s="29"/>
      <c r="BU606" s="29"/>
      <c r="BV606" s="23"/>
      <c r="BW606" s="23"/>
      <c r="BX606" s="23"/>
      <c r="BY606" s="23"/>
      <c r="BZ606" s="23"/>
      <c r="CA606" s="23"/>
      <c r="CB606" s="23"/>
      <c r="CC606" s="23"/>
      <c r="CD606" s="23"/>
      <c r="CE606" s="23"/>
      <c r="CF606" s="23"/>
      <c r="CG606" s="23"/>
      <c r="CH606" s="27"/>
      <c r="CI606" s="27" t="str">
        <f>AI606</f>
        <v>21,596.4</v>
      </c>
      <c r="CJ606" s="27"/>
      <c r="CK606" s="28"/>
      <c r="CL606" s="39"/>
    </row>
    <row r="607" spans="1:90" ht="14.25" customHeight="1" x14ac:dyDescent="0.25">
      <c r="A607" s="20"/>
      <c r="B607" s="31"/>
      <c r="C607" s="30"/>
      <c r="D607" s="23"/>
      <c r="E607" s="23"/>
      <c r="F607" s="23"/>
      <c r="G607" s="23" t="s">
        <v>322</v>
      </c>
      <c r="H607" s="23"/>
      <c r="I607" s="23"/>
      <c r="J607" s="23"/>
      <c r="K607" s="23"/>
      <c r="L607" s="23"/>
      <c r="M607" s="23"/>
      <c r="N607" s="23" t="s">
        <v>121</v>
      </c>
      <c r="O607" s="23"/>
      <c r="P607" s="23" t="str">
        <f>TEXT([1]노임및중기단가!I8,"#,##0")</f>
        <v>138,290</v>
      </c>
      <c r="Q607" s="23"/>
      <c r="R607" s="23"/>
      <c r="S607" s="23"/>
      <c r="T607" s="23"/>
      <c r="U607" s="23"/>
      <c r="V607" s="23"/>
      <c r="W607" s="23" t="s">
        <v>102</v>
      </c>
      <c r="X607" s="23"/>
      <c r="Y607" s="23"/>
      <c r="Z607" s="23" t="str">
        <f>TEXT(0.02,"#,##0.#######")</f>
        <v>0.02</v>
      </c>
      <c r="AA607" s="23"/>
      <c r="AB607" s="23"/>
      <c r="AC607" s="23"/>
      <c r="AD607" s="23" t="s">
        <v>243</v>
      </c>
      <c r="AE607" s="23"/>
      <c r="AF607" s="23"/>
      <c r="AG607" s="23" t="s">
        <v>103</v>
      </c>
      <c r="AH607" s="23"/>
      <c r="AI607" s="23" t="str">
        <f>TEXT(TRUNC(P607*Z607,1),"#,##0.#")</f>
        <v>2,765.8</v>
      </c>
      <c r="AJ607" s="23"/>
      <c r="AK607" s="23"/>
      <c r="AL607" s="23"/>
      <c r="AM607" s="23"/>
      <c r="AN607" s="23"/>
      <c r="AO607" s="23"/>
      <c r="AP607" s="29"/>
      <c r="AQ607" s="29"/>
      <c r="AR607" s="29"/>
      <c r="AS607" s="29"/>
      <c r="AT607" s="29"/>
      <c r="AU607" s="29"/>
      <c r="AV607" s="29"/>
      <c r="AW607" s="23"/>
      <c r="AX607" s="29"/>
      <c r="AY607" s="29"/>
      <c r="AZ607" s="29"/>
      <c r="BA607" s="29"/>
      <c r="BB607" s="29"/>
      <c r="BC607" s="29"/>
      <c r="BD607" s="29"/>
      <c r="BE607" s="29"/>
      <c r="BF607" s="29"/>
      <c r="BG607" s="29"/>
      <c r="BH607" s="29"/>
      <c r="BI607" s="29"/>
      <c r="BJ607" s="29"/>
      <c r="BK607" s="29"/>
      <c r="BL607" s="29"/>
      <c r="BM607" s="29"/>
      <c r="BN607" s="29"/>
      <c r="BO607" s="29"/>
      <c r="BP607" s="29"/>
      <c r="BQ607" s="29"/>
      <c r="BR607" s="29"/>
      <c r="BS607" s="29"/>
      <c r="BT607" s="29"/>
      <c r="BU607" s="29"/>
      <c r="BV607" s="23"/>
      <c r="BW607" s="23"/>
      <c r="BX607" s="23"/>
      <c r="BY607" s="23"/>
      <c r="BZ607" s="23"/>
      <c r="CA607" s="23"/>
      <c r="CB607" s="23"/>
      <c r="CC607" s="23"/>
      <c r="CD607" s="23"/>
      <c r="CE607" s="23"/>
      <c r="CF607" s="23"/>
      <c r="CG607" s="23"/>
      <c r="CH607" s="27"/>
      <c r="CI607" s="27" t="str">
        <f>AI607</f>
        <v>2,765.8</v>
      </c>
      <c r="CJ607" s="27"/>
      <c r="CK607" s="28"/>
      <c r="CL607" s="39"/>
    </row>
    <row r="608" spans="1:90" ht="14.25" customHeight="1" x14ac:dyDescent="0.25">
      <c r="A608" s="20"/>
      <c r="B608" s="31"/>
      <c r="C608" s="30"/>
      <c r="D608" s="23"/>
      <c r="E608" s="23"/>
      <c r="F608" s="23"/>
      <c r="G608" s="23" t="s">
        <v>340</v>
      </c>
      <c r="H608" s="23"/>
      <c r="I608" s="23"/>
      <c r="J608" s="23"/>
      <c r="K608" s="23"/>
      <c r="L608" s="23"/>
      <c r="M608" s="23"/>
      <c r="N608" s="23" t="s">
        <v>121</v>
      </c>
      <c r="O608" s="23" t="s">
        <v>341</v>
      </c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  <c r="AZ608" s="29"/>
      <c r="BA608" s="23"/>
      <c r="BB608" s="23"/>
      <c r="BC608" s="29"/>
      <c r="BD608" s="29"/>
      <c r="BE608" s="29"/>
      <c r="BF608" s="29"/>
      <c r="BG608" s="29"/>
      <c r="BH608" s="29"/>
      <c r="BI608" s="23"/>
      <c r="BJ608" s="23"/>
      <c r="BK608" s="23"/>
      <c r="BL608" s="23"/>
      <c r="BM608" s="23"/>
      <c r="BN608" s="23"/>
      <c r="BO608" s="23"/>
      <c r="BP608" s="23"/>
      <c r="BQ608" s="23"/>
      <c r="BR608" s="29"/>
      <c r="BS608" s="29"/>
      <c r="BT608" s="29"/>
      <c r="BU608" s="29"/>
      <c r="BV608" s="23"/>
      <c r="BW608" s="23"/>
      <c r="BX608" s="23"/>
      <c r="BY608" s="23"/>
      <c r="BZ608" s="23"/>
      <c r="CA608" s="23"/>
      <c r="CB608" s="23"/>
      <c r="CC608" s="23"/>
      <c r="CD608" s="23"/>
      <c r="CE608" s="23"/>
      <c r="CF608" s="23"/>
      <c r="CG608" s="23"/>
      <c r="CH608" s="27"/>
      <c r="CI608" s="27"/>
      <c r="CJ608" s="27"/>
      <c r="CK608" s="28"/>
      <c r="CL608" s="39"/>
    </row>
    <row r="609" spans="1:90" ht="14.25" customHeight="1" x14ac:dyDescent="0.25">
      <c r="A609" s="20"/>
      <c r="B609" s="31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3" t="s">
        <v>96</v>
      </c>
      <c r="O609" s="23" t="str">
        <f>TEXT(TRUNC(AI606,1),"#,##0.#")</f>
        <v>21,596.4</v>
      </c>
      <c r="P609" s="23"/>
      <c r="Q609" s="23"/>
      <c r="R609" s="23"/>
      <c r="S609" s="23"/>
      <c r="T609" s="23" t="s">
        <v>97</v>
      </c>
      <c r="U609" s="23"/>
      <c r="V609" s="23"/>
      <c r="W609" s="23" t="str">
        <f>TEXT(TRUNC(AI607,1),"#,##0.#")</f>
        <v>2,765.8</v>
      </c>
      <c r="X609" s="23"/>
      <c r="Y609" s="23"/>
      <c r="Z609" s="34"/>
      <c r="AA609" s="34"/>
      <c r="AB609" s="23" t="s">
        <v>101</v>
      </c>
      <c r="AC609" s="23"/>
      <c r="AD609" s="23" t="s">
        <v>102</v>
      </c>
      <c r="AE609" s="23"/>
      <c r="AF609" s="23"/>
      <c r="AG609" s="23" t="str">
        <f>TEXT(0.01,"#,##0.#######")</f>
        <v>0.01</v>
      </c>
      <c r="AH609" s="23"/>
      <c r="AI609" s="23"/>
      <c r="AJ609" s="23"/>
      <c r="AK609" s="23" t="s">
        <v>103</v>
      </c>
      <c r="AL609" s="23"/>
      <c r="AM609" s="23"/>
      <c r="AN609" s="23" t="str">
        <f>TEXT(TRUNC((O609+W609)*AG609,1),"#,##0.#")</f>
        <v>243.6</v>
      </c>
      <c r="AO609" s="23"/>
      <c r="AP609" s="23"/>
      <c r="AQ609" s="23"/>
      <c r="AR609" s="23" t="s">
        <v>288</v>
      </c>
      <c r="AS609" s="23"/>
      <c r="AT609" s="23"/>
      <c r="AU609" s="23"/>
      <c r="AV609" s="23"/>
      <c r="AW609" s="23"/>
      <c r="AX609" s="23"/>
      <c r="AY609" s="23"/>
      <c r="AZ609" s="23"/>
      <c r="BA609" s="23"/>
      <c r="BB609" s="23"/>
      <c r="BC609" s="23"/>
      <c r="BD609" s="23"/>
      <c r="BE609" s="23"/>
      <c r="BF609" s="23"/>
      <c r="BG609" s="23"/>
      <c r="BH609" s="23"/>
      <c r="BI609" s="23"/>
      <c r="BJ609" s="23"/>
      <c r="BK609" s="23"/>
      <c r="BL609" s="23"/>
      <c r="BM609" s="23"/>
      <c r="BN609" s="23"/>
      <c r="BO609" s="23"/>
      <c r="BP609" s="23"/>
      <c r="BQ609" s="23"/>
      <c r="BR609" s="23"/>
      <c r="BS609" s="23"/>
      <c r="BT609" s="23"/>
      <c r="BU609" s="23"/>
      <c r="BV609" s="23"/>
      <c r="BW609" s="23"/>
      <c r="BX609" s="23"/>
      <c r="BY609" s="23"/>
      <c r="BZ609" s="23"/>
      <c r="CA609" s="23"/>
      <c r="CB609" s="23"/>
      <c r="CC609" s="23"/>
      <c r="CD609" s="23"/>
      <c r="CE609" s="23"/>
      <c r="CF609" s="23"/>
      <c r="CG609" s="23"/>
      <c r="CH609" s="27"/>
      <c r="CI609" s="27"/>
      <c r="CJ609" s="27"/>
      <c r="CK609" s="28" t="str">
        <f>AN609</f>
        <v>243.6</v>
      </c>
      <c r="CL609" s="39"/>
    </row>
    <row r="610" spans="1:90" ht="14.25" customHeight="1" x14ac:dyDescent="0.25">
      <c r="A610" s="20"/>
      <c r="B610" s="31"/>
      <c r="C610" s="30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  <c r="AQ610" s="29"/>
      <c r="AR610" s="29"/>
      <c r="AS610" s="29"/>
      <c r="AT610" s="29"/>
      <c r="AU610" s="29"/>
      <c r="AV610" s="29"/>
      <c r="AW610" s="29"/>
      <c r="AX610" s="23"/>
      <c r="AY610" s="23"/>
      <c r="AZ610" s="23"/>
      <c r="BA610" s="29"/>
      <c r="BB610" s="29"/>
      <c r="BC610" s="29"/>
      <c r="BD610" s="29"/>
      <c r="BE610" s="29"/>
      <c r="BF610" s="29"/>
      <c r="BG610" s="29"/>
      <c r="BH610" s="29"/>
      <c r="BI610" s="29"/>
      <c r="BJ610" s="29"/>
      <c r="BK610" s="29"/>
      <c r="BL610" s="29"/>
      <c r="BM610" s="29"/>
      <c r="BN610" s="29"/>
      <c r="BO610" s="29"/>
      <c r="BP610" s="29"/>
      <c r="BQ610" s="29"/>
      <c r="BR610" s="29"/>
      <c r="BS610" s="29"/>
      <c r="BT610" s="29"/>
      <c r="BU610" s="29"/>
      <c r="BV610" s="29"/>
      <c r="BW610" s="29"/>
      <c r="BX610" s="29"/>
      <c r="BY610" s="29"/>
      <c r="BZ610" s="29"/>
      <c r="CA610" s="29"/>
      <c r="CB610" s="29"/>
      <c r="CC610" s="23"/>
      <c r="CD610" s="23"/>
      <c r="CE610" s="23"/>
      <c r="CF610" s="23"/>
      <c r="CG610" s="23"/>
      <c r="CH610" s="27"/>
      <c r="CI610" s="27"/>
      <c r="CJ610" s="27"/>
      <c r="CK610" s="28"/>
      <c r="CL610" s="39"/>
    </row>
    <row r="611" spans="1:90" ht="14.25" customHeight="1" x14ac:dyDescent="0.25">
      <c r="A611" s="20"/>
      <c r="B611" s="31"/>
      <c r="C611" s="30"/>
      <c r="D611" s="23" t="s">
        <v>168</v>
      </c>
      <c r="E611" s="23"/>
      <c r="F611" s="23"/>
      <c r="G611" s="23" t="s">
        <v>123</v>
      </c>
      <c r="H611" s="23"/>
      <c r="I611" s="23"/>
      <c r="J611" s="23"/>
      <c r="K611" s="23"/>
      <c r="L611" s="23"/>
      <c r="M611" s="23"/>
      <c r="N611" s="23" t="s">
        <v>121</v>
      </c>
      <c r="O611" s="23" t="s">
        <v>348</v>
      </c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9"/>
      <c r="AX611" s="29"/>
      <c r="AY611" s="29"/>
      <c r="AZ611" s="29"/>
      <c r="BA611" s="29"/>
      <c r="BB611" s="29"/>
      <c r="BC611" s="29"/>
      <c r="BD611" s="29"/>
      <c r="BE611" s="29"/>
      <c r="BF611" s="29"/>
      <c r="BG611" s="29"/>
      <c r="BH611" s="29"/>
      <c r="BI611" s="29"/>
      <c r="BJ611" s="29"/>
      <c r="BK611" s="29"/>
      <c r="BL611" s="29"/>
      <c r="BM611" s="29"/>
      <c r="BN611" s="29"/>
      <c r="BO611" s="29"/>
      <c r="BP611" s="29"/>
      <c r="BQ611" s="29"/>
      <c r="BR611" s="29"/>
      <c r="BS611" s="29"/>
      <c r="BT611" s="29"/>
      <c r="BU611" s="29"/>
      <c r="BV611" s="29"/>
      <c r="BW611" s="29"/>
      <c r="BX611" s="29"/>
      <c r="BY611" s="29"/>
      <c r="BZ611" s="29"/>
      <c r="CA611" s="29"/>
      <c r="CB611" s="29"/>
      <c r="CC611" s="23"/>
      <c r="CD611" s="23"/>
      <c r="CE611" s="23"/>
      <c r="CF611" s="23"/>
      <c r="CG611" s="23"/>
      <c r="CH611" s="27"/>
      <c r="CI611" s="27"/>
      <c r="CJ611" s="27"/>
      <c r="CK611" s="28"/>
      <c r="CL611" s="39"/>
    </row>
    <row r="612" spans="1:90" ht="14.25" customHeight="1" x14ac:dyDescent="0.25">
      <c r="A612" s="20"/>
      <c r="B612" s="31"/>
      <c r="C612" s="30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3" t="s">
        <v>96</v>
      </c>
      <c r="O612" s="23" t="str">
        <f>TEXT(TRUNC(AI568,1),"#,##0.#")</f>
        <v>5,721.6</v>
      </c>
      <c r="P612" s="23"/>
      <c r="Q612" s="23"/>
      <c r="R612" s="23"/>
      <c r="S612" s="23"/>
      <c r="T612" s="23" t="s">
        <v>97</v>
      </c>
      <c r="U612" s="23"/>
      <c r="V612" s="23"/>
      <c r="W612" s="23" t="str">
        <f>TEXT(TRUNC(AI569,1),"#,##0.#")</f>
        <v>11,443.3</v>
      </c>
      <c r="X612" s="23"/>
      <c r="Y612" s="23"/>
      <c r="Z612" s="34"/>
      <c r="AA612" s="34"/>
      <c r="AB612" s="23" t="s">
        <v>101</v>
      </c>
      <c r="AC612" s="23"/>
      <c r="AD612" s="23" t="s">
        <v>102</v>
      </c>
      <c r="AE612" s="23"/>
      <c r="AF612" s="23"/>
      <c r="AG612" s="23" t="str">
        <f>TEXT(0.327,"#,##0.#######")</f>
        <v>0.327</v>
      </c>
      <c r="AH612" s="23"/>
      <c r="AI612" s="23"/>
      <c r="AJ612" s="23"/>
      <c r="AK612" s="23" t="s">
        <v>103</v>
      </c>
      <c r="AL612" s="23"/>
      <c r="AM612" s="23"/>
      <c r="AN612" s="23" t="str">
        <f>TEXT(TRUNC((O612+W612)*AG612,1),"#,##0.#")</f>
        <v>5,612.9</v>
      </c>
      <c r="AO612" s="23"/>
      <c r="AP612" s="23"/>
      <c r="AQ612" s="23"/>
      <c r="AR612" s="23" t="s">
        <v>288</v>
      </c>
      <c r="AS612" s="23"/>
      <c r="AT612" s="23"/>
      <c r="AU612" s="23"/>
      <c r="AV612" s="23"/>
      <c r="AW612" s="29"/>
      <c r="AX612" s="23"/>
      <c r="AY612" s="29"/>
      <c r="AZ612" s="29"/>
      <c r="BA612" s="29"/>
      <c r="BB612" s="23"/>
      <c r="BC612" s="23"/>
      <c r="BD612" s="23"/>
      <c r="BE612" s="23"/>
      <c r="BF612" s="23"/>
      <c r="BG612" s="29"/>
      <c r="BH612" s="29"/>
      <c r="BI612" s="29"/>
      <c r="BJ612" s="29"/>
      <c r="BK612" s="29"/>
      <c r="BL612" s="29"/>
      <c r="BM612" s="29"/>
      <c r="BN612" s="29"/>
      <c r="BO612" s="29"/>
      <c r="BP612" s="29"/>
      <c r="BQ612" s="29"/>
      <c r="BR612" s="29"/>
      <c r="BS612" s="29"/>
      <c r="BT612" s="29"/>
      <c r="BU612" s="29"/>
      <c r="BV612" s="29"/>
      <c r="BW612" s="29"/>
      <c r="BX612" s="29"/>
      <c r="BY612" s="29"/>
      <c r="BZ612" s="29"/>
      <c r="CA612" s="29"/>
      <c r="CB612" s="29"/>
      <c r="CC612" s="23"/>
      <c r="CD612" s="23"/>
      <c r="CE612" s="23"/>
      <c r="CF612" s="23"/>
      <c r="CG612" s="23"/>
      <c r="CH612" s="27"/>
      <c r="CI612" s="27"/>
      <c r="CJ612" s="27" t="str">
        <f>AN612</f>
        <v>5,612.9</v>
      </c>
      <c r="CK612" s="28"/>
      <c r="CL612" s="39"/>
    </row>
    <row r="613" spans="1:90" ht="14.25" customHeight="1" x14ac:dyDescent="0.25">
      <c r="A613" s="20"/>
      <c r="B613" s="31"/>
      <c r="C613" s="30"/>
      <c r="D613" s="29"/>
      <c r="E613" s="29"/>
      <c r="F613" s="29"/>
      <c r="G613" s="23" t="s">
        <v>253</v>
      </c>
      <c r="H613" s="23"/>
      <c r="I613" s="23"/>
      <c r="J613" s="23"/>
      <c r="K613" s="23"/>
      <c r="L613" s="23"/>
      <c r="M613" s="23"/>
      <c r="N613" s="23" t="s">
        <v>121</v>
      </c>
      <c r="O613" s="23" t="s">
        <v>349</v>
      </c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9"/>
      <c r="AX613" s="23"/>
      <c r="AY613" s="29"/>
      <c r="AZ613" s="29"/>
      <c r="BA613" s="23"/>
      <c r="BB613" s="23"/>
      <c r="BC613" s="23"/>
      <c r="BD613" s="23"/>
      <c r="BE613" s="23"/>
      <c r="BF613" s="23"/>
      <c r="BG613" s="23"/>
      <c r="BH613" s="23"/>
      <c r="BI613" s="23"/>
      <c r="BJ613" s="23"/>
      <c r="BK613" s="23"/>
      <c r="BL613" s="29"/>
      <c r="BM613" s="29"/>
      <c r="BN613" s="29"/>
      <c r="BO613" s="29"/>
      <c r="BP613" s="29"/>
      <c r="BQ613" s="29"/>
      <c r="BR613" s="29"/>
      <c r="BS613" s="29"/>
      <c r="BT613" s="29"/>
      <c r="BU613" s="29"/>
      <c r="BV613" s="29"/>
      <c r="BW613" s="29"/>
      <c r="BX613" s="29"/>
      <c r="BY613" s="29"/>
      <c r="BZ613" s="29"/>
      <c r="CA613" s="29"/>
      <c r="CB613" s="29"/>
      <c r="CC613" s="23"/>
      <c r="CD613" s="23"/>
      <c r="CE613" s="23"/>
      <c r="CF613" s="23"/>
      <c r="CG613" s="23"/>
      <c r="CH613" s="27"/>
      <c r="CI613" s="27"/>
      <c r="CJ613" s="27"/>
      <c r="CK613" s="28"/>
      <c r="CL613" s="39"/>
    </row>
    <row r="614" spans="1:90" ht="14.25" customHeight="1" x14ac:dyDescent="0.25">
      <c r="A614" s="20"/>
      <c r="B614" s="31"/>
      <c r="C614" s="30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3"/>
      <c r="O614" s="23" t="str">
        <f>TEXT(TRUNC(AN612,1),"#,##0.#")</f>
        <v>5,612.9</v>
      </c>
      <c r="P614" s="23"/>
      <c r="Q614" s="23"/>
      <c r="R614" s="23"/>
      <c r="S614" s="23"/>
      <c r="T614" s="23"/>
      <c r="U614" s="23"/>
      <c r="V614" s="23" t="s">
        <v>102</v>
      </c>
      <c r="W614" s="23"/>
      <c r="X614" s="23"/>
      <c r="Y614" s="23" t="str">
        <f>TEXT(0.11,"#,##0.#######")</f>
        <v>0.11</v>
      </c>
      <c r="Z614" s="23"/>
      <c r="AA614" s="23"/>
      <c r="AB614" s="23"/>
      <c r="AC614" s="23" t="s">
        <v>103</v>
      </c>
      <c r="AD614" s="23"/>
      <c r="AE614" s="23"/>
      <c r="AF614" s="23" t="str">
        <f>TEXT(TRUNC(O614*Y614,1),"#,##0.#")</f>
        <v>617.4</v>
      </c>
      <c r="AG614" s="23"/>
      <c r="AH614" s="23"/>
      <c r="AI614" s="23"/>
      <c r="AJ614" s="23" t="s">
        <v>288</v>
      </c>
      <c r="AK614" s="23"/>
      <c r="AL614" s="23"/>
      <c r="AM614" s="23"/>
      <c r="AN614" s="23"/>
      <c r="AO614" s="34"/>
      <c r="AP614" s="34"/>
      <c r="AQ614" s="34"/>
      <c r="AR614" s="34"/>
      <c r="AS614" s="34"/>
      <c r="AT614" s="34"/>
      <c r="AU614" s="34"/>
      <c r="AV614" s="34"/>
      <c r="AW614" s="29"/>
      <c r="AX614" s="23"/>
      <c r="AY614" s="29"/>
      <c r="AZ614" s="29"/>
      <c r="BA614" s="29"/>
      <c r="BB614" s="23"/>
      <c r="BC614" s="23"/>
      <c r="BD614" s="23"/>
      <c r="BE614" s="23"/>
      <c r="BF614" s="23"/>
      <c r="BG614" s="23"/>
      <c r="BH614" s="23"/>
      <c r="BI614" s="23"/>
      <c r="BJ614" s="23"/>
      <c r="BK614" s="23"/>
      <c r="BL614" s="23"/>
      <c r="BM614" s="23"/>
      <c r="BN614" s="23"/>
      <c r="BO614" s="23"/>
      <c r="BP614" s="23"/>
      <c r="BQ614" s="23"/>
      <c r="BR614" s="23"/>
      <c r="BS614" s="23"/>
      <c r="BT614" s="23"/>
      <c r="BU614" s="23"/>
      <c r="BV614" s="23"/>
      <c r="BW614" s="23"/>
      <c r="BX614" s="23"/>
      <c r="BY614" s="23"/>
      <c r="BZ614" s="23"/>
      <c r="CA614" s="23"/>
      <c r="CB614" s="23"/>
      <c r="CC614" s="23"/>
      <c r="CD614" s="23"/>
      <c r="CE614" s="23"/>
      <c r="CF614" s="23"/>
      <c r="CG614" s="23"/>
      <c r="CH614" s="27"/>
      <c r="CI614" s="27"/>
      <c r="CJ614" s="27" t="str">
        <f>AF614</f>
        <v>617.4</v>
      </c>
      <c r="CK614" s="28"/>
      <c r="CL614" s="39"/>
    </row>
    <row r="615" spans="1:90" ht="14.25" customHeight="1" x14ac:dyDescent="0.25">
      <c r="A615" s="20"/>
      <c r="B615" s="31"/>
      <c r="C615" s="30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  <c r="AQ615" s="29"/>
      <c r="AR615" s="29"/>
      <c r="AS615" s="29"/>
      <c r="AT615" s="29"/>
      <c r="AU615" s="29"/>
      <c r="AV615" s="29"/>
      <c r="AW615" s="29"/>
      <c r="AX615" s="29"/>
      <c r="AY615" s="29"/>
      <c r="AZ615" s="29"/>
      <c r="BA615" s="29"/>
      <c r="BB615" s="29"/>
      <c r="BC615" s="29"/>
      <c r="BD615" s="29"/>
      <c r="BE615" s="29"/>
      <c r="BF615" s="29"/>
      <c r="BG615" s="29"/>
      <c r="BH615" s="29"/>
      <c r="BI615" s="29"/>
      <c r="BJ615" s="29"/>
      <c r="BK615" s="29"/>
      <c r="BL615" s="29"/>
      <c r="BM615" s="29"/>
      <c r="BN615" s="29"/>
      <c r="BO615" s="23"/>
      <c r="BP615" s="23"/>
      <c r="BQ615" s="23"/>
      <c r="BR615" s="23"/>
      <c r="BS615" s="23"/>
      <c r="BT615" s="23"/>
      <c r="BU615" s="23"/>
      <c r="BV615" s="23"/>
      <c r="BW615" s="23"/>
      <c r="BX615" s="23"/>
      <c r="BY615" s="23"/>
      <c r="BZ615" s="23"/>
      <c r="CA615" s="23"/>
      <c r="CB615" s="23"/>
      <c r="CC615" s="23"/>
      <c r="CD615" s="23"/>
      <c r="CE615" s="23"/>
      <c r="CF615" s="23"/>
      <c r="CG615" s="23"/>
      <c r="CH615" s="27"/>
      <c r="CI615" s="27"/>
      <c r="CJ615" s="27"/>
      <c r="CK615" s="28"/>
      <c r="CL615" s="39"/>
    </row>
    <row r="616" spans="1:90" ht="14.25" customHeight="1" x14ac:dyDescent="0.25">
      <c r="A616" s="20"/>
      <c r="B616" s="31"/>
      <c r="C616" s="30"/>
      <c r="D616" s="23" t="s">
        <v>237</v>
      </c>
      <c r="E616" s="23"/>
      <c r="F616" s="23"/>
      <c r="G616" s="23" t="s">
        <v>323</v>
      </c>
      <c r="H616" s="23"/>
      <c r="I616" s="23"/>
      <c r="J616" s="23"/>
      <c r="K616" s="23" t="s">
        <v>127</v>
      </c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9"/>
      <c r="AK616" s="29"/>
      <c r="AL616" s="29"/>
      <c r="AM616" s="29"/>
      <c r="AN616" s="29"/>
      <c r="AO616" s="29"/>
      <c r="AP616" s="29"/>
      <c r="AQ616" s="29"/>
      <c r="AR616" s="29"/>
      <c r="AS616" s="29"/>
      <c r="AT616" s="29"/>
      <c r="AU616" s="29"/>
      <c r="AV616" s="29"/>
      <c r="AW616" s="29"/>
      <c r="AX616" s="29"/>
      <c r="AY616" s="29"/>
      <c r="AZ616" s="29"/>
      <c r="BA616" s="29"/>
      <c r="BB616" s="29"/>
      <c r="BC616" s="29"/>
      <c r="BD616" s="29"/>
      <c r="BE616" s="29"/>
      <c r="BF616" s="29"/>
      <c r="BG616" s="29"/>
      <c r="BH616" s="29"/>
      <c r="BI616" s="29"/>
      <c r="BJ616" s="29"/>
      <c r="BK616" s="29"/>
      <c r="BL616" s="29"/>
      <c r="BM616" s="29"/>
      <c r="BN616" s="29"/>
      <c r="BO616" s="23"/>
      <c r="BP616" s="23"/>
      <c r="BQ616" s="23"/>
      <c r="BR616" s="23"/>
      <c r="BS616" s="23"/>
      <c r="BT616" s="23"/>
      <c r="BU616" s="23"/>
      <c r="BV616" s="23"/>
      <c r="BW616" s="23"/>
      <c r="BX616" s="23"/>
      <c r="BY616" s="23"/>
      <c r="BZ616" s="23"/>
      <c r="CA616" s="23"/>
      <c r="CB616" s="23"/>
      <c r="CC616" s="23"/>
      <c r="CD616" s="23"/>
      <c r="CE616" s="23"/>
      <c r="CF616" s="23"/>
      <c r="CG616" s="23"/>
      <c r="CH616" s="27"/>
      <c r="CI616" s="27"/>
      <c r="CJ616" s="27"/>
      <c r="CK616" s="28"/>
      <c r="CL616" s="39"/>
    </row>
    <row r="617" spans="1:90" ht="14.25" customHeight="1" x14ac:dyDescent="0.25">
      <c r="A617" s="20"/>
      <c r="B617" s="31"/>
      <c r="C617" s="30"/>
      <c r="D617" s="23"/>
      <c r="E617" s="23"/>
      <c r="F617" s="23"/>
      <c r="G617" s="23"/>
      <c r="H617" s="23" t="s">
        <v>120</v>
      </c>
      <c r="I617" s="23"/>
      <c r="J617" s="23"/>
      <c r="K617" s="23"/>
      <c r="L617" s="23"/>
      <c r="M617" s="23"/>
      <c r="N617" s="23"/>
      <c r="O617" s="23" t="s">
        <v>121</v>
      </c>
      <c r="P617" s="23"/>
      <c r="Q617" s="23" t="str">
        <f>AI606</f>
        <v>21,596.4</v>
      </c>
      <c r="R617" s="23"/>
      <c r="S617" s="23"/>
      <c r="T617" s="23"/>
      <c r="U617" s="23"/>
      <c r="V617" s="23"/>
      <c r="W617" s="23"/>
      <c r="X617" s="23" t="s">
        <v>97</v>
      </c>
      <c r="Y617" s="23"/>
      <c r="Z617" s="23" t="str">
        <f>TEXT(AI607,"#,###.##")</f>
        <v>2,765.8</v>
      </c>
      <c r="AA617" s="23"/>
      <c r="AB617" s="23"/>
      <c r="AC617" s="23"/>
      <c r="AD617" s="23"/>
      <c r="AE617" s="23"/>
      <c r="AF617" s="23" t="s">
        <v>103</v>
      </c>
      <c r="AG617" s="23"/>
      <c r="AH617" s="23"/>
      <c r="AI617" s="23" t="str">
        <f>TEXT(TRUNC(Q617+Z617,0),"#,##0")</f>
        <v>24,362</v>
      </c>
      <c r="AJ617" s="23"/>
      <c r="AK617" s="23"/>
      <c r="AL617" s="23"/>
      <c r="AM617" s="29"/>
      <c r="AN617" s="29"/>
      <c r="AO617" s="34"/>
      <c r="AP617" s="34"/>
      <c r="AQ617" s="34"/>
      <c r="AR617" s="34"/>
      <c r="AS617" s="34"/>
      <c r="AT617" s="34"/>
      <c r="AU617" s="34"/>
      <c r="AV617" s="23"/>
      <c r="AW617" s="29"/>
      <c r="AX617" s="29"/>
      <c r="AY617" s="29"/>
      <c r="AZ617" s="29"/>
      <c r="BA617" s="29"/>
      <c r="BB617" s="23"/>
      <c r="BC617" s="23"/>
      <c r="BD617" s="23"/>
      <c r="BE617" s="23"/>
      <c r="BF617" s="23"/>
      <c r="BG617" s="23"/>
      <c r="BH617" s="23"/>
      <c r="BI617" s="23"/>
      <c r="BJ617" s="23"/>
      <c r="BK617" s="23"/>
      <c r="BL617" s="23"/>
      <c r="BM617" s="23"/>
      <c r="BN617" s="23"/>
      <c r="BO617" s="23"/>
      <c r="BP617" s="23"/>
      <c r="BQ617" s="23"/>
      <c r="BR617" s="23"/>
      <c r="BS617" s="23"/>
      <c r="BT617" s="23"/>
      <c r="BU617" s="23"/>
      <c r="BV617" s="23"/>
      <c r="BW617" s="23"/>
      <c r="BX617" s="23"/>
      <c r="BY617" s="23"/>
      <c r="BZ617" s="23"/>
      <c r="CA617" s="23"/>
      <c r="CB617" s="23"/>
      <c r="CC617" s="23"/>
      <c r="CD617" s="23"/>
      <c r="CE617" s="23"/>
      <c r="CF617" s="23"/>
      <c r="CG617" s="23"/>
      <c r="CH617" s="27"/>
      <c r="CI617" s="27"/>
      <c r="CJ617" s="27"/>
      <c r="CK617" s="28"/>
      <c r="CL617" s="39"/>
    </row>
    <row r="618" spans="1:90" ht="14.25" customHeight="1" x14ac:dyDescent="0.25">
      <c r="A618" s="20"/>
      <c r="B618" s="22"/>
      <c r="C618" s="23"/>
      <c r="D618" s="23"/>
      <c r="E618" s="23"/>
      <c r="F618" s="23"/>
      <c r="G618" s="23"/>
      <c r="H618" s="23" t="s">
        <v>123</v>
      </c>
      <c r="I618" s="23"/>
      <c r="J618" s="23"/>
      <c r="K618" s="23"/>
      <c r="L618" s="23"/>
      <c r="M618" s="23"/>
      <c r="N618" s="23"/>
      <c r="O618" s="23" t="s">
        <v>121</v>
      </c>
      <c r="P618" s="23"/>
      <c r="Q618" s="23" t="str">
        <f>AN612</f>
        <v>5,612.9</v>
      </c>
      <c r="R618" s="23"/>
      <c r="S618" s="23"/>
      <c r="T618" s="23"/>
      <c r="U618" s="23"/>
      <c r="V618" s="23"/>
      <c r="W618" s="23"/>
      <c r="X618" s="23" t="s">
        <v>97</v>
      </c>
      <c r="Y618" s="23"/>
      <c r="Z618" s="23" t="str">
        <f>AF614</f>
        <v>617.4</v>
      </c>
      <c r="AA618" s="23"/>
      <c r="AB618" s="23"/>
      <c r="AC618" s="23"/>
      <c r="AD618" s="23"/>
      <c r="AE618" s="23"/>
      <c r="AF618" s="23" t="s">
        <v>103</v>
      </c>
      <c r="AG618" s="23"/>
      <c r="AH618" s="23"/>
      <c r="AI618" s="23" t="str">
        <f>TEXT(TRUNC(Q618+Z618,0),"#,##0")</f>
        <v>6,230</v>
      </c>
      <c r="AJ618" s="23"/>
      <c r="AK618" s="23"/>
      <c r="AL618" s="23"/>
      <c r="AM618" s="23"/>
      <c r="AN618" s="29"/>
      <c r="AO618" s="34"/>
      <c r="AP618" s="34"/>
      <c r="AQ618" s="34"/>
      <c r="AR618" s="34"/>
      <c r="AS618" s="34"/>
      <c r="AT618" s="34"/>
      <c r="AU618" s="34"/>
      <c r="AV618" s="23"/>
      <c r="AW618" s="29"/>
      <c r="AX618" s="29"/>
      <c r="AY618" s="29"/>
      <c r="AZ618" s="29"/>
      <c r="BA618" s="23"/>
      <c r="BB618" s="23"/>
      <c r="BC618" s="23"/>
      <c r="BD618" s="23"/>
      <c r="BE618" s="23"/>
      <c r="BF618" s="23"/>
      <c r="BG618" s="23"/>
      <c r="BH618" s="23"/>
      <c r="BI618" s="23"/>
      <c r="BJ618" s="23"/>
      <c r="BK618" s="23"/>
      <c r="BL618" s="23"/>
      <c r="BM618" s="23"/>
      <c r="BN618" s="23"/>
      <c r="BO618" s="23"/>
      <c r="BP618" s="23"/>
      <c r="BQ618" s="23"/>
      <c r="BR618" s="23"/>
      <c r="BS618" s="23"/>
      <c r="BT618" s="23"/>
      <c r="BU618" s="23"/>
      <c r="BV618" s="23"/>
      <c r="BW618" s="23"/>
      <c r="BX618" s="23"/>
      <c r="BY618" s="23"/>
      <c r="BZ618" s="23"/>
      <c r="CA618" s="23"/>
      <c r="CB618" s="23"/>
      <c r="CC618" s="23"/>
      <c r="CD618" s="23"/>
      <c r="CE618" s="23"/>
      <c r="CF618" s="23"/>
      <c r="CG618" s="23"/>
      <c r="CH618" s="27"/>
      <c r="CI618" s="27"/>
      <c r="CJ618" s="28"/>
      <c r="CK618" s="28"/>
      <c r="CL618" s="39"/>
    </row>
    <row r="619" spans="1:90" ht="14.25" customHeight="1" x14ac:dyDescent="0.2">
      <c r="A619" s="20"/>
      <c r="B619" s="22"/>
      <c r="C619" s="23"/>
      <c r="D619" s="23"/>
      <c r="E619" s="23"/>
      <c r="F619" s="23"/>
      <c r="G619" s="23"/>
      <c r="H619" s="23" t="s">
        <v>124</v>
      </c>
      <c r="I619" s="23"/>
      <c r="J619" s="23"/>
      <c r="K619" s="23"/>
      <c r="L619" s="23" t="s">
        <v>125</v>
      </c>
      <c r="M619" s="23"/>
      <c r="N619" s="23"/>
      <c r="O619" s="23" t="s">
        <v>121</v>
      </c>
      <c r="P619" s="23"/>
      <c r="Q619" s="23" t="str">
        <f>AN609</f>
        <v>243.6</v>
      </c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 t="s">
        <v>103</v>
      </c>
      <c r="AG619" s="23"/>
      <c r="AH619" s="23"/>
      <c r="AI619" s="23" t="str">
        <f>TEXT(TRUNC(Q619,0),"#,##0")</f>
        <v>243</v>
      </c>
      <c r="AJ619" s="23"/>
      <c r="AK619" s="23"/>
      <c r="AL619" s="23"/>
      <c r="AM619" s="23"/>
      <c r="AN619" s="23"/>
      <c r="AO619" s="34"/>
      <c r="AP619" s="34"/>
      <c r="AQ619" s="34"/>
      <c r="AR619" s="34"/>
      <c r="AS619" s="34"/>
      <c r="AT619" s="34"/>
      <c r="AU619" s="34"/>
      <c r="AV619" s="23"/>
      <c r="AW619" s="23"/>
      <c r="AX619" s="23"/>
      <c r="AY619" s="23"/>
      <c r="AZ619" s="23"/>
      <c r="BA619" s="23"/>
      <c r="BB619" s="23"/>
      <c r="BC619" s="23"/>
      <c r="BD619" s="23"/>
      <c r="BE619" s="23"/>
      <c r="BF619" s="23"/>
      <c r="BG619" s="23"/>
      <c r="BH619" s="23"/>
      <c r="BI619" s="23"/>
      <c r="BJ619" s="23"/>
      <c r="BK619" s="23"/>
      <c r="BL619" s="23"/>
      <c r="BM619" s="23"/>
      <c r="BN619" s="23"/>
      <c r="BO619" s="23"/>
      <c r="BP619" s="23"/>
      <c r="BQ619" s="23"/>
      <c r="BR619" s="23"/>
      <c r="BS619" s="23"/>
      <c r="BT619" s="23"/>
      <c r="BU619" s="23"/>
      <c r="BV619" s="23"/>
      <c r="BW619" s="23"/>
      <c r="BX619" s="23"/>
      <c r="BY619" s="23"/>
      <c r="BZ619" s="23"/>
      <c r="CA619" s="23"/>
      <c r="CB619" s="23"/>
      <c r="CC619" s="23"/>
      <c r="CD619" s="23"/>
      <c r="CE619" s="23"/>
      <c r="CF619" s="23"/>
      <c r="CG619" s="23"/>
      <c r="CH619" s="27"/>
      <c r="CI619" s="27"/>
      <c r="CJ619" s="28"/>
      <c r="CK619" s="28"/>
      <c r="CL619" s="39"/>
    </row>
    <row r="620" spans="1:90" ht="14.25" customHeight="1" x14ac:dyDescent="0.25">
      <c r="A620" s="20"/>
      <c r="B620" s="22"/>
      <c r="C620" s="23"/>
      <c r="D620" s="23"/>
      <c r="E620" s="23"/>
      <c r="F620" s="23"/>
      <c r="G620" s="23"/>
      <c r="H620" s="23" t="s">
        <v>126</v>
      </c>
      <c r="I620" s="23"/>
      <c r="J620" s="23"/>
      <c r="K620" s="23"/>
      <c r="L620" s="23" t="s">
        <v>127</v>
      </c>
      <c r="M620" s="23"/>
      <c r="N620" s="23"/>
      <c r="O620" s="23" t="s">
        <v>121</v>
      </c>
      <c r="P620" s="23"/>
      <c r="Q620" s="23" t="str">
        <f>TEXT(AI617+AI618+AI619,"#,##0")</f>
        <v>30,835</v>
      </c>
      <c r="R620" s="29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  <c r="AY620" s="23"/>
      <c r="AZ620" s="23"/>
      <c r="BA620" s="23"/>
      <c r="BB620" s="23"/>
      <c r="BC620" s="23"/>
      <c r="BD620" s="23"/>
      <c r="BE620" s="23"/>
      <c r="BF620" s="23"/>
      <c r="BG620" s="23"/>
      <c r="BH620" s="23"/>
      <c r="BI620" s="23"/>
      <c r="BJ620" s="23"/>
      <c r="BK620" s="23"/>
      <c r="BL620" s="23"/>
      <c r="BM620" s="23"/>
      <c r="BN620" s="23"/>
      <c r="BO620" s="23"/>
      <c r="BP620" s="23"/>
      <c r="BQ620" s="23"/>
      <c r="BR620" s="23"/>
      <c r="BS620" s="23"/>
      <c r="BT620" s="23"/>
      <c r="BU620" s="23"/>
      <c r="BV620" s="23"/>
      <c r="BW620" s="23"/>
      <c r="BX620" s="23"/>
      <c r="BY620" s="23"/>
      <c r="BZ620" s="23"/>
      <c r="CA620" s="23"/>
      <c r="CB620" s="23"/>
      <c r="CC620" s="23"/>
      <c r="CD620" s="23"/>
      <c r="CE620" s="23"/>
      <c r="CF620" s="23"/>
      <c r="CG620" s="23"/>
      <c r="CH620" s="27">
        <f>CI620+CJ620+CK620</f>
        <v>30835</v>
      </c>
      <c r="CI620" s="27" t="str">
        <f>AI617</f>
        <v>24,362</v>
      </c>
      <c r="CJ620" s="28" t="str">
        <f>AI618</f>
        <v>6,230</v>
      </c>
      <c r="CK620" s="28" t="str">
        <f>AI619</f>
        <v>243</v>
      </c>
      <c r="CL620" s="39"/>
    </row>
    <row r="621" spans="1:90" ht="14.25" customHeight="1" x14ac:dyDescent="0.25">
      <c r="A621" s="20"/>
      <c r="B621" s="22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9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  <c r="AZ621" s="23"/>
      <c r="BA621" s="23"/>
      <c r="BB621" s="23"/>
      <c r="BC621" s="23"/>
      <c r="BD621" s="23"/>
      <c r="BE621" s="23"/>
      <c r="BF621" s="23"/>
      <c r="BG621" s="23"/>
      <c r="BH621" s="23"/>
      <c r="BI621" s="23"/>
      <c r="BJ621" s="23"/>
      <c r="BK621" s="23"/>
      <c r="BL621" s="23"/>
      <c r="BM621" s="23"/>
      <c r="BN621" s="23"/>
      <c r="BO621" s="23"/>
      <c r="BP621" s="23"/>
      <c r="BQ621" s="23"/>
      <c r="BR621" s="23"/>
      <c r="BS621" s="23"/>
      <c r="BT621" s="23"/>
      <c r="BU621" s="23"/>
      <c r="BV621" s="23"/>
      <c r="BW621" s="23"/>
      <c r="BX621" s="23"/>
      <c r="BY621" s="23"/>
      <c r="BZ621" s="23"/>
      <c r="CA621" s="23"/>
      <c r="CB621" s="23"/>
      <c r="CC621" s="23"/>
      <c r="CD621" s="23"/>
      <c r="CE621" s="23"/>
      <c r="CF621" s="23"/>
      <c r="CG621" s="23"/>
      <c r="CH621" s="27"/>
      <c r="CI621" s="27"/>
      <c r="CJ621" s="28"/>
      <c r="CK621" s="28"/>
      <c r="CL621" s="39"/>
    </row>
    <row r="622" spans="1:90" ht="14.25" customHeight="1" x14ac:dyDescent="0.2">
      <c r="A622" s="20"/>
      <c r="B622" s="46" t="s">
        <v>350</v>
      </c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  <c r="AA622" s="47"/>
      <c r="AB622" s="47"/>
      <c r="AC622" s="47"/>
      <c r="AD622" s="47"/>
      <c r="AE622" s="47"/>
      <c r="AF622" s="47"/>
      <c r="AG622" s="47"/>
      <c r="AH622" s="47"/>
      <c r="AI622" s="47"/>
      <c r="AJ622" s="47"/>
      <c r="AK622" s="47"/>
      <c r="AL622" s="47"/>
      <c r="AM622" s="47"/>
      <c r="AN622" s="47"/>
      <c r="AO622" s="47"/>
      <c r="AP622" s="47"/>
      <c r="AQ622" s="47"/>
      <c r="AR622" s="47"/>
      <c r="AS622" s="47"/>
      <c r="AT622" s="47"/>
      <c r="AU622" s="47"/>
      <c r="AV622" s="47"/>
      <c r="AW622" s="47"/>
      <c r="AX622" s="47"/>
      <c r="AY622" s="47"/>
      <c r="AZ622" s="47"/>
      <c r="BA622" s="47"/>
      <c r="BB622" s="47"/>
      <c r="BC622" s="47"/>
      <c r="BD622" s="47"/>
      <c r="BE622" s="47"/>
      <c r="BF622" s="47"/>
      <c r="BG622" s="47"/>
      <c r="BH622" s="47"/>
      <c r="BI622" s="47"/>
      <c r="BJ622" s="47"/>
      <c r="BK622" s="47"/>
      <c r="BL622" s="47"/>
      <c r="BM622" s="47"/>
      <c r="BN622" s="47"/>
      <c r="BO622" s="47"/>
      <c r="BP622" s="47"/>
      <c r="BQ622" s="47"/>
      <c r="BR622" s="47"/>
      <c r="BS622" s="47"/>
      <c r="BT622" s="47"/>
      <c r="BU622" s="47"/>
      <c r="BV622" s="47"/>
      <c r="BW622" s="47"/>
      <c r="BX622" s="47"/>
      <c r="BY622" s="47"/>
      <c r="BZ622" s="47"/>
      <c r="CA622" s="47"/>
      <c r="CB622" s="47"/>
      <c r="CC622" s="47"/>
      <c r="CD622" s="47"/>
      <c r="CE622" s="47"/>
      <c r="CF622" s="47"/>
      <c r="CG622" s="47"/>
      <c r="CH622" s="65">
        <f>TRUNC(CI622+CJ622+CK622,0)</f>
        <v>1521334</v>
      </c>
      <c r="CI622" s="65">
        <f>TRUNC(CI629+CI630+CI631+CI632,0)</f>
        <v>1247965</v>
      </c>
      <c r="CJ622" s="66">
        <f>TRUNC(CJ624+CJ625+CJ626,0)</f>
        <v>271920</v>
      </c>
      <c r="CK622" s="66">
        <f>TRUNC(CK638+CK640,0)</f>
        <v>1449</v>
      </c>
      <c r="CL622" s="97">
        <v>841</v>
      </c>
    </row>
    <row r="623" spans="1:90" ht="14.25" customHeight="1" x14ac:dyDescent="0.25">
      <c r="A623" s="20"/>
      <c r="B623" s="31"/>
      <c r="C623" s="29"/>
      <c r="D623" s="23" t="s">
        <v>94</v>
      </c>
      <c r="E623" s="23"/>
      <c r="F623" s="23"/>
      <c r="G623" s="23" t="s">
        <v>123</v>
      </c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  <c r="AY623" s="23"/>
      <c r="AZ623" s="23"/>
      <c r="BA623" s="23"/>
      <c r="BB623" s="23"/>
      <c r="BC623" s="23"/>
      <c r="BD623" s="23"/>
      <c r="BE623" s="23"/>
      <c r="BF623" s="23"/>
      <c r="BG623" s="23"/>
      <c r="BH623" s="23"/>
      <c r="BI623" s="23"/>
      <c r="BJ623" s="23"/>
      <c r="BK623" s="23"/>
      <c r="BL623" s="23"/>
      <c r="BM623" s="23"/>
      <c r="BN623" s="23"/>
      <c r="BO623" s="23"/>
      <c r="BP623" s="23"/>
      <c r="BQ623" s="23"/>
      <c r="BR623" s="23"/>
      <c r="BS623" s="23"/>
      <c r="BT623" s="23"/>
      <c r="BU623" s="23"/>
      <c r="BV623" s="23"/>
      <c r="BW623" s="23"/>
      <c r="BX623" s="23"/>
      <c r="BY623" s="23"/>
      <c r="BZ623" s="23"/>
      <c r="CA623" s="23"/>
      <c r="CB623" s="23"/>
      <c r="CC623" s="23"/>
      <c r="CD623" s="23"/>
      <c r="CE623" s="23"/>
      <c r="CF623" s="23"/>
      <c r="CG623" s="23"/>
      <c r="CH623" s="27"/>
      <c r="CI623" s="27"/>
      <c r="CJ623" s="27"/>
      <c r="CK623" s="28"/>
      <c r="CL623" s="39" t="s">
        <v>351</v>
      </c>
    </row>
    <row r="624" spans="1:90" ht="14.25" customHeight="1" x14ac:dyDescent="0.25">
      <c r="A624" s="20"/>
      <c r="B624" s="31"/>
      <c r="C624" s="30"/>
      <c r="D624" s="23"/>
      <c r="E624" s="23"/>
      <c r="F624" s="23"/>
      <c r="G624" s="23" t="s">
        <v>352</v>
      </c>
      <c r="H624" s="23"/>
      <c r="I624" s="23"/>
      <c r="J624" s="23"/>
      <c r="K624" s="23"/>
      <c r="L624" s="23"/>
      <c r="M624" s="29"/>
      <c r="N624" s="23" t="s">
        <v>121</v>
      </c>
      <c r="O624" s="29"/>
      <c r="P624" s="29"/>
      <c r="Q624" s="23" t="str">
        <f>TEXT([1]자재단가!$M$107,"#,##0.#######")</f>
        <v>2,760.</v>
      </c>
      <c r="R624" s="23"/>
      <c r="S624" s="23"/>
      <c r="T624" s="23"/>
      <c r="U624" s="23"/>
      <c r="V624" s="23"/>
      <c r="W624" s="23" t="s">
        <v>102</v>
      </c>
      <c r="X624" s="23"/>
      <c r="Y624" s="23"/>
      <c r="Z624" s="23" t="str">
        <f>TEXT(2.77,"#,##0.#######")</f>
        <v>2.77</v>
      </c>
      <c r="AA624" s="23"/>
      <c r="AB624" s="23"/>
      <c r="AC624" s="29"/>
      <c r="AD624" s="29"/>
      <c r="AE624" s="38" t="s">
        <v>270</v>
      </c>
      <c r="AF624" s="23"/>
      <c r="AG624" s="23"/>
      <c r="AH624" s="23" t="s">
        <v>103</v>
      </c>
      <c r="AI624" s="23"/>
      <c r="AJ624" s="23" t="str">
        <f>TEXT(TRUNC(Q624*Z624,1),"#,##0.#")</f>
        <v>7,645.2</v>
      </c>
      <c r="AK624" s="23"/>
      <c r="AL624" s="29"/>
      <c r="AM624" s="29"/>
      <c r="AN624" s="29"/>
      <c r="AO624" s="29"/>
      <c r="AP624" s="29"/>
      <c r="AQ624" s="29"/>
      <c r="AR624" s="29"/>
      <c r="AS624" s="29"/>
      <c r="AT624" s="29"/>
      <c r="AU624" s="29"/>
      <c r="AV624" s="29"/>
      <c r="AW624" s="29"/>
      <c r="AX624" s="29"/>
      <c r="AY624" s="29"/>
      <c r="AZ624" s="29"/>
      <c r="BA624" s="29"/>
      <c r="BB624" s="29"/>
      <c r="BC624" s="29"/>
      <c r="BD624" s="29"/>
      <c r="BE624" s="29"/>
      <c r="BF624" s="29"/>
      <c r="BG624" s="29"/>
      <c r="BH624" s="29"/>
      <c r="BI624" s="29"/>
      <c r="BJ624" s="29"/>
      <c r="BK624" s="29"/>
      <c r="BL624" s="29"/>
      <c r="BM624" s="29"/>
      <c r="BN624" s="23"/>
      <c r="BO624" s="23"/>
      <c r="BP624" s="23"/>
      <c r="BQ624" s="23"/>
      <c r="BR624" s="29"/>
      <c r="BS624" s="29"/>
      <c r="BT624" s="29"/>
      <c r="BU624" s="29"/>
      <c r="BV624" s="23"/>
      <c r="BW624" s="23"/>
      <c r="BX624" s="23"/>
      <c r="BY624" s="23"/>
      <c r="BZ624" s="23"/>
      <c r="CA624" s="23"/>
      <c r="CB624" s="23"/>
      <c r="CC624" s="23"/>
      <c r="CD624" s="23"/>
      <c r="CE624" s="23"/>
      <c r="CF624" s="23"/>
      <c r="CG624" s="23"/>
      <c r="CH624" s="27"/>
      <c r="CI624" s="27"/>
      <c r="CJ624" s="27" t="str">
        <f>AJ624</f>
        <v>7,645.2</v>
      </c>
      <c r="CK624" s="28"/>
      <c r="CL624" s="39"/>
    </row>
    <row r="625" spans="1:90" ht="14.25" customHeight="1" x14ac:dyDescent="0.25">
      <c r="A625" s="20"/>
      <c r="B625" s="31"/>
      <c r="C625" s="30"/>
      <c r="D625" s="23"/>
      <c r="E625" s="23"/>
      <c r="F625" s="23"/>
      <c r="G625" s="23" t="s">
        <v>353</v>
      </c>
      <c r="H625" s="23"/>
      <c r="I625" s="23"/>
      <c r="J625" s="23"/>
      <c r="K625" s="23"/>
      <c r="L625" s="23"/>
      <c r="M625" s="29"/>
      <c r="N625" s="23" t="s">
        <v>121</v>
      </c>
      <c r="O625" s="29"/>
      <c r="P625" s="29"/>
      <c r="Q625" s="23" t="str">
        <f>TEXT([1]자재단가!$M$108,"#,##0.#######")</f>
        <v>275.</v>
      </c>
      <c r="R625" s="23"/>
      <c r="S625" s="23"/>
      <c r="T625" s="23"/>
      <c r="U625" s="23"/>
      <c r="V625" s="23"/>
      <c r="W625" s="23" t="s">
        <v>102</v>
      </c>
      <c r="X625" s="23"/>
      <c r="Y625" s="23"/>
      <c r="Z625" s="23" t="str">
        <f>TEXT(945,"#,##0.#######")</f>
        <v>945.</v>
      </c>
      <c r="AA625" s="23"/>
      <c r="AB625" s="23"/>
      <c r="AC625" s="29"/>
      <c r="AD625" s="29"/>
      <c r="AE625" s="38" t="s">
        <v>354</v>
      </c>
      <c r="AF625" s="23"/>
      <c r="AG625" s="23"/>
      <c r="AH625" s="23" t="s">
        <v>103</v>
      </c>
      <c r="AI625" s="23"/>
      <c r="AJ625" s="23" t="str">
        <f>TEXT(TRUNC(Q625*Z625,1),"#,##0.#")</f>
        <v>259,875.</v>
      </c>
      <c r="AK625" s="23"/>
      <c r="AL625" s="29"/>
      <c r="AM625" s="29"/>
      <c r="AN625" s="29"/>
      <c r="AO625" s="29"/>
      <c r="AP625" s="29"/>
      <c r="AQ625" s="29"/>
      <c r="AR625" s="29"/>
      <c r="AS625" s="29"/>
      <c r="AT625" s="29"/>
      <c r="AU625" s="29"/>
      <c r="AV625" s="29"/>
      <c r="AW625" s="29"/>
      <c r="AX625" s="29"/>
      <c r="AY625" s="29"/>
      <c r="AZ625" s="29"/>
      <c r="BA625" s="29"/>
      <c r="BB625" s="29"/>
      <c r="BC625" s="29"/>
      <c r="BD625" s="29"/>
      <c r="BE625" s="29"/>
      <c r="BF625" s="29"/>
      <c r="BG625" s="29"/>
      <c r="BH625" s="29"/>
      <c r="BI625" s="29"/>
      <c r="BJ625" s="29"/>
      <c r="BK625" s="29"/>
      <c r="BL625" s="29"/>
      <c r="BM625" s="29"/>
      <c r="BN625" s="23"/>
      <c r="BO625" s="23"/>
      <c r="BP625" s="23"/>
      <c r="BQ625" s="23"/>
      <c r="BR625" s="29"/>
      <c r="BS625" s="29"/>
      <c r="BT625" s="29"/>
      <c r="BU625" s="29"/>
      <c r="BV625" s="23"/>
      <c r="BW625" s="23"/>
      <c r="BX625" s="23"/>
      <c r="BY625" s="23"/>
      <c r="BZ625" s="23"/>
      <c r="CA625" s="23"/>
      <c r="CB625" s="23"/>
      <c r="CC625" s="23"/>
      <c r="CD625" s="23"/>
      <c r="CE625" s="23"/>
      <c r="CF625" s="23"/>
      <c r="CG625" s="23"/>
      <c r="CH625" s="27"/>
      <c r="CI625" s="27"/>
      <c r="CJ625" s="27" t="str">
        <f>AJ625</f>
        <v>259,875.</v>
      </c>
      <c r="CK625" s="28"/>
      <c r="CL625" s="39"/>
    </row>
    <row r="626" spans="1:90" ht="14.25" customHeight="1" x14ac:dyDescent="0.25">
      <c r="A626" s="20"/>
      <c r="B626" s="31"/>
      <c r="C626" s="30"/>
      <c r="D626" s="23"/>
      <c r="E626" s="23"/>
      <c r="F626" s="23"/>
      <c r="G626" s="23" t="s">
        <v>355</v>
      </c>
      <c r="H626" s="23"/>
      <c r="I626" s="23"/>
      <c r="J626" s="23"/>
      <c r="K626" s="23"/>
      <c r="L626" s="23"/>
      <c r="M626" s="29"/>
      <c r="N626" s="23" t="s">
        <v>306</v>
      </c>
      <c r="O626" s="29"/>
      <c r="P626" s="29"/>
      <c r="Q626" s="23" t="str">
        <f>TEXT([1]자재단가!$M$109,"#,##0.#######")</f>
        <v>11,000.</v>
      </c>
      <c r="R626" s="23"/>
      <c r="S626" s="23"/>
      <c r="T626" s="23"/>
      <c r="U626" s="23"/>
      <c r="V626" s="23"/>
      <c r="W626" s="23" t="s">
        <v>299</v>
      </c>
      <c r="X626" s="23"/>
      <c r="Y626" s="23"/>
      <c r="Z626" s="23" t="str">
        <f>TEXT(0.4,"#,##0.#######")</f>
        <v>0.4</v>
      </c>
      <c r="AA626" s="23"/>
      <c r="AB626" s="23"/>
      <c r="AC626" s="29"/>
      <c r="AD626" s="29"/>
      <c r="AE626" s="38" t="s">
        <v>356</v>
      </c>
      <c r="AF626" s="23"/>
      <c r="AG626" s="23"/>
      <c r="AH626" s="23" t="s">
        <v>297</v>
      </c>
      <c r="AI626" s="23"/>
      <c r="AJ626" s="23" t="str">
        <f>TEXT(TRUNC(Q626*Z626,1),"#,##0.#")</f>
        <v>4,400.</v>
      </c>
      <c r="AK626" s="23"/>
      <c r="AL626" s="29"/>
      <c r="AM626" s="29"/>
      <c r="AN626" s="29"/>
      <c r="AO626" s="29"/>
      <c r="AP626" s="29"/>
      <c r="AQ626" s="29"/>
      <c r="AR626" s="29"/>
      <c r="AS626" s="29"/>
      <c r="AT626" s="29"/>
      <c r="AU626" s="29"/>
      <c r="AV626" s="29"/>
      <c r="AW626" s="29"/>
      <c r="AX626" s="29"/>
      <c r="AY626" s="29"/>
      <c r="AZ626" s="29"/>
      <c r="BA626" s="29"/>
      <c r="BB626" s="29"/>
      <c r="BC626" s="29"/>
      <c r="BD626" s="29"/>
      <c r="BE626" s="29"/>
      <c r="BF626" s="29"/>
      <c r="BG626" s="29"/>
      <c r="BH626" s="29"/>
      <c r="BI626" s="29"/>
      <c r="BJ626" s="29"/>
      <c r="BK626" s="29"/>
      <c r="BL626" s="29"/>
      <c r="BM626" s="29"/>
      <c r="BN626" s="23"/>
      <c r="BO626" s="23"/>
      <c r="BP626" s="23"/>
      <c r="BQ626" s="23"/>
      <c r="BR626" s="29"/>
      <c r="BS626" s="29"/>
      <c r="BT626" s="29"/>
      <c r="BU626" s="29"/>
      <c r="BV626" s="23"/>
      <c r="BW626" s="23"/>
      <c r="BX626" s="23"/>
      <c r="BY626" s="23"/>
      <c r="BZ626" s="23"/>
      <c r="CA626" s="23"/>
      <c r="CB626" s="23"/>
      <c r="CC626" s="23"/>
      <c r="CD626" s="23"/>
      <c r="CE626" s="23"/>
      <c r="CF626" s="23"/>
      <c r="CG626" s="23"/>
      <c r="CH626" s="27"/>
      <c r="CI626" s="27"/>
      <c r="CJ626" s="27" t="str">
        <f>AJ626</f>
        <v>4,400.</v>
      </c>
      <c r="CK626" s="28"/>
      <c r="CL626" s="39"/>
    </row>
    <row r="627" spans="1:90" ht="14.25" customHeight="1" x14ac:dyDescent="0.25">
      <c r="A627" s="20"/>
      <c r="B627" s="31"/>
      <c r="C627" s="30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9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9"/>
      <c r="AR627" s="29"/>
      <c r="AS627" s="29"/>
      <c r="AT627" s="23"/>
      <c r="AU627" s="23"/>
      <c r="AV627" s="23"/>
      <c r="AW627" s="23"/>
      <c r="AX627" s="23"/>
      <c r="AY627" s="23"/>
      <c r="AZ627" s="23"/>
      <c r="BA627" s="23"/>
      <c r="BB627" s="29"/>
      <c r="BC627" s="29"/>
      <c r="BD627" s="29"/>
      <c r="BE627" s="29"/>
      <c r="BF627" s="29"/>
      <c r="BG627" s="29"/>
      <c r="BH627" s="29"/>
      <c r="BI627" s="23"/>
      <c r="BJ627" s="23"/>
      <c r="BK627" s="23"/>
      <c r="BL627" s="23"/>
      <c r="BM627" s="23"/>
      <c r="BN627" s="23"/>
      <c r="BO627" s="23"/>
      <c r="BP627" s="23"/>
      <c r="BQ627" s="23"/>
      <c r="BR627" s="29"/>
      <c r="BS627" s="29"/>
      <c r="BT627" s="29"/>
      <c r="BU627" s="29"/>
      <c r="BV627" s="23"/>
      <c r="BW627" s="23"/>
      <c r="BX627" s="23"/>
      <c r="BY627" s="23"/>
      <c r="BZ627" s="23"/>
      <c r="CA627" s="23"/>
      <c r="CB627" s="23"/>
      <c r="CC627" s="23"/>
      <c r="CD627" s="23"/>
      <c r="CE627" s="23"/>
      <c r="CF627" s="23"/>
      <c r="CG627" s="23"/>
      <c r="CH627" s="27"/>
      <c r="CI627" s="27"/>
      <c r="CJ627" s="27"/>
      <c r="CK627" s="28"/>
      <c r="CL627" s="39"/>
    </row>
    <row r="628" spans="1:90" ht="14.25" customHeight="1" x14ac:dyDescent="0.2">
      <c r="A628" s="20"/>
      <c r="B628" s="31"/>
      <c r="C628" s="30"/>
      <c r="D628" s="23" t="s">
        <v>357</v>
      </c>
      <c r="E628" s="23"/>
      <c r="F628" s="23"/>
      <c r="G628" s="23" t="s">
        <v>358</v>
      </c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  <c r="AZ628" s="23"/>
      <c r="BA628" s="23"/>
      <c r="BB628" s="23"/>
      <c r="BC628" s="23"/>
      <c r="BD628" s="23"/>
      <c r="BE628" s="23"/>
      <c r="BF628" s="23"/>
      <c r="BG628" s="23"/>
      <c r="BH628" s="23"/>
      <c r="BI628" s="23"/>
      <c r="BJ628" s="23"/>
      <c r="BK628" s="23"/>
      <c r="BL628" s="23"/>
      <c r="BM628" s="23"/>
      <c r="BN628" s="23"/>
      <c r="BO628" s="23"/>
      <c r="BP628" s="23"/>
      <c r="BQ628" s="23"/>
      <c r="BR628" s="23"/>
      <c r="BS628" s="23"/>
      <c r="BT628" s="23"/>
      <c r="BU628" s="23"/>
      <c r="BV628" s="23"/>
      <c r="BW628" s="23"/>
      <c r="BX628" s="23"/>
      <c r="BY628" s="23"/>
      <c r="BZ628" s="23"/>
      <c r="CA628" s="23"/>
      <c r="CB628" s="23"/>
      <c r="CC628" s="23"/>
      <c r="CD628" s="23"/>
      <c r="CE628" s="23"/>
      <c r="CF628" s="23"/>
      <c r="CG628" s="23"/>
      <c r="CH628" s="27"/>
      <c r="CI628" s="27"/>
      <c r="CJ628" s="27"/>
      <c r="CK628" s="28"/>
      <c r="CL628" s="39"/>
    </row>
    <row r="629" spans="1:90" ht="14.25" customHeight="1" x14ac:dyDescent="0.25">
      <c r="A629" s="20"/>
      <c r="B629" s="31"/>
      <c r="C629" s="30"/>
      <c r="D629" s="23"/>
      <c r="E629" s="23"/>
      <c r="F629" s="23"/>
      <c r="G629" s="23" t="s">
        <v>359</v>
      </c>
      <c r="H629" s="23"/>
      <c r="I629" s="23"/>
      <c r="J629" s="23"/>
      <c r="K629" s="23"/>
      <c r="L629" s="23"/>
      <c r="M629" s="23"/>
      <c r="N629" s="23" t="s">
        <v>306</v>
      </c>
      <c r="O629" s="23"/>
      <c r="P629" s="23" t="str">
        <f>TEXT([1]노임및중기단가!$I$5,"#,##0")</f>
        <v>192,968</v>
      </c>
      <c r="Q629" s="23"/>
      <c r="R629" s="23"/>
      <c r="S629" s="23"/>
      <c r="T629" s="23"/>
      <c r="U629" s="23"/>
      <c r="V629" s="23"/>
      <c r="W629" s="23" t="s">
        <v>299</v>
      </c>
      <c r="X629" s="23"/>
      <c r="Y629" s="23"/>
      <c r="Z629" s="23" t="str">
        <f>TEXT(5.85,"#,##0.#######")</f>
        <v>5.85</v>
      </c>
      <c r="AA629" s="23"/>
      <c r="AB629" s="23"/>
      <c r="AC629" s="23"/>
      <c r="AD629" s="23" t="s">
        <v>243</v>
      </c>
      <c r="AE629" s="23"/>
      <c r="AF629" s="23"/>
      <c r="AG629" s="23" t="s">
        <v>103</v>
      </c>
      <c r="AH629" s="23"/>
      <c r="AI629" s="23" t="str">
        <f>TEXT(TRUNC(P629*Z629,1),"#,##0.#")</f>
        <v>1,128,862.8</v>
      </c>
      <c r="AJ629" s="23"/>
      <c r="AK629" s="23"/>
      <c r="AL629" s="29"/>
      <c r="AM629" s="29"/>
      <c r="AN629" s="29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23"/>
      <c r="BC629" s="23"/>
      <c r="BD629" s="23"/>
      <c r="BE629" s="23"/>
      <c r="BF629" s="23"/>
      <c r="BG629" s="23"/>
      <c r="BH629" s="23"/>
      <c r="BI629" s="23"/>
      <c r="BJ629" s="23"/>
      <c r="BK629" s="23"/>
      <c r="BL629" s="23"/>
      <c r="BM629" s="23"/>
      <c r="BN629" s="23"/>
      <c r="BO629" s="23"/>
      <c r="BP629" s="23"/>
      <c r="BQ629" s="23"/>
      <c r="BR629" s="23"/>
      <c r="BS629" s="23"/>
      <c r="BT629" s="23"/>
      <c r="BU629" s="23"/>
      <c r="BV629" s="23"/>
      <c r="BW629" s="23"/>
      <c r="BX629" s="23"/>
      <c r="BY629" s="23"/>
      <c r="BZ629" s="23"/>
      <c r="CA629" s="23"/>
      <c r="CB629" s="23"/>
      <c r="CC629" s="23"/>
      <c r="CD629" s="23"/>
      <c r="CE629" s="23"/>
      <c r="CF629" s="23"/>
      <c r="CG629" s="23"/>
      <c r="CH629" s="27"/>
      <c r="CI629" s="64" t="str">
        <f>AI629</f>
        <v>1,128,862.8</v>
      </c>
      <c r="CJ629" s="27"/>
      <c r="CK629" s="28"/>
      <c r="CL629" s="39"/>
    </row>
    <row r="630" spans="1:90" ht="14.25" customHeight="1" x14ac:dyDescent="0.25">
      <c r="A630" s="20"/>
      <c r="B630" s="31"/>
      <c r="C630" s="30"/>
      <c r="D630" s="23"/>
      <c r="E630" s="23"/>
      <c r="F630" s="23"/>
      <c r="G630" s="23" t="s">
        <v>322</v>
      </c>
      <c r="H630" s="23"/>
      <c r="I630" s="23"/>
      <c r="J630" s="23"/>
      <c r="K630" s="23"/>
      <c r="L630" s="23"/>
      <c r="M630" s="23"/>
      <c r="N630" s="23" t="s">
        <v>121</v>
      </c>
      <c r="O630" s="23"/>
      <c r="P630" s="23" t="str">
        <f>TEXT([1]노임및중기단가!$I$8,"#,##0")</f>
        <v>138,290</v>
      </c>
      <c r="Q630" s="23"/>
      <c r="R630" s="23"/>
      <c r="S630" s="23"/>
      <c r="T630" s="23"/>
      <c r="U630" s="23"/>
      <c r="V630" s="23"/>
      <c r="W630" s="23" t="s">
        <v>102</v>
      </c>
      <c r="X630" s="23"/>
      <c r="Y630" s="23"/>
      <c r="Z630" s="23" t="str">
        <f>TEXT(0.1,"#,##0.#######")</f>
        <v>0.1</v>
      </c>
      <c r="AA630" s="23"/>
      <c r="AB630" s="23"/>
      <c r="AC630" s="23"/>
      <c r="AD630" s="23" t="s">
        <v>243</v>
      </c>
      <c r="AE630" s="23"/>
      <c r="AF630" s="23"/>
      <c r="AG630" s="23" t="s">
        <v>103</v>
      </c>
      <c r="AH630" s="23"/>
      <c r="AI630" s="23" t="str">
        <f>TEXT(TRUNC(P630*Z630,1),"#,##0.#")</f>
        <v>13,829.</v>
      </c>
      <c r="AJ630" s="23"/>
      <c r="AK630" s="23"/>
      <c r="AL630" s="29"/>
      <c r="AM630" s="29"/>
      <c r="AN630" s="29"/>
      <c r="AO630" s="29"/>
      <c r="AP630" s="29"/>
      <c r="AQ630" s="29"/>
      <c r="AR630" s="29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  <c r="BD630" s="23"/>
      <c r="BE630" s="23"/>
      <c r="BF630" s="23"/>
      <c r="BG630" s="23"/>
      <c r="BH630" s="23"/>
      <c r="BI630" s="23"/>
      <c r="BJ630" s="23"/>
      <c r="BK630" s="23"/>
      <c r="BL630" s="23"/>
      <c r="BM630" s="23"/>
      <c r="BN630" s="23"/>
      <c r="BO630" s="23"/>
      <c r="BP630" s="23"/>
      <c r="BQ630" s="23"/>
      <c r="BR630" s="23"/>
      <c r="BS630" s="23"/>
      <c r="BT630" s="23"/>
      <c r="BU630" s="23"/>
      <c r="BV630" s="23"/>
      <c r="BW630" s="23"/>
      <c r="BX630" s="23"/>
      <c r="BY630" s="23"/>
      <c r="BZ630" s="23"/>
      <c r="CA630" s="23"/>
      <c r="CB630" s="23"/>
      <c r="CC630" s="23"/>
      <c r="CD630" s="23"/>
      <c r="CE630" s="23"/>
      <c r="CF630" s="23"/>
      <c r="CG630" s="23"/>
      <c r="CH630" s="27"/>
      <c r="CI630" s="64" t="str">
        <f>AI630</f>
        <v>13,829.</v>
      </c>
      <c r="CJ630" s="27"/>
      <c r="CK630" s="28"/>
      <c r="CL630" s="39"/>
    </row>
    <row r="631" spans="1:90" ht="14.25" customHeight="1" x14ac:dyDescent="0.25">
      <c r="A631" s="20"/>
      <c r="B631" s="31"/>
      <c r="C631" s="30"/>
      <c r="D631" s="23"/>
      <c r="E631" s="23"/>
      <c r="F631" s="23"/>
      <c r="G631" s="23" t="s">
        <v>360</v>
      </c>
      <c r="H631" s="23"/>
      <c r="I631" s="23"/>
      <c r="J631" s="23"/>
      <c r="K631" s="23"/>
      <c r="L631" s="23"/>
      <c r="M631" s="23"/>
      <c r="N631" s="23" t="s">
        <v>121</v>
      </c>
      <c r="O631" s="23"/>
      <c r="P631" s="23" t="str">
        <f>TEXT([1]노임및중기단가!$I$19,"#,##0")</f>
        <v>223,094</v>
      </c>
      <c r="Q631" s="23"/>
      <c r="R631" s="23"/>
      <c r="S631" s="23"/>
      <c r="T631" s="23"/>
      <c r="U631" s="23"/>
      <c r="V631" s="23"/>
      <c r="W631" s="23" t="s">
        <v>102</v>
      </c>
      <c r="X631" s="23"/>
      <c r="Y631" s="23"/>
      <c r="Z631" s="23" t="str">
        <f>TEXT(0.39,"#,##0.#######")</f>
        <v>0.39</v>
      </c>
      <c r="AA631" s="23"/>
      <c r="AB631" s="23"/>
      <c r="AC631" s="23"/>
      <c r="AD631" s="23" t="s">
        <v>243</v>
      </c>
      <c r="AE631" s="23"/>
      <c r="AF631" s="23"/>
      <c r="AG631" s="23" t="s">
        <v>103</v>
      </c>
      <c r="AH631" s="23"/>
      <c r="AI631" s="23" t="str">
        <f>TEXT(TRUNC(P631*Z631,1),"#,##0.#")</f>
        <v>87,006.6</v>
      </c>
      <c r="AJ631" s="23"/>
      <c r="AK631" s="23"/>
      <c r="AL631" s="29"/>
      <c r="AM631" s="29"/>
      <c r="AN631" s="29"/>
      <c r="AO631" s="29"/>
      <c r="AP631" s="29"/>
      <c r="AQ631" s="29"/>
      <c r="AR631" s="29"/>
      <c r="AS631" s="23"/>
      <c r="AT631" s="23"/>
      <c r="AU631" s="23"/>
      <c r="AV631" s="23"/>
      <c r="AW631" s="23"/>
      <c r="AX631" s="23"/>
      <c r="AY631" s="23"/>
      <c r="AZ631" s="23"/>
      <c r="BA631" s="23"/>
      <c r="BB631" s="23"/>
      <c r="BC631" s="23"/>
      <c r="BD631" s="23"/>
      <c r="BE631" s="23"/>
      <c r="BF631" s="23"/>
      <c r="BG631" s="23"/>
      <c r="BH631" s="23"/>
      <c r="BI631" s="23"/>
      <c r="BJ631" s="23"/>
      <c r="BK631" s="23"/>
      <c r="BL631" s="23"/>
      <c r="BM631" s="23"/>
      <c r="BN631" s="23"/>
      <c r="BO631" s="23"/>
      <c r="BP631" s="23"/>
      <c r="BQ631" s="23"/>
      <c r="BR631" s="23"/>
      <c r="BS631" s="23"/>
      <c r="BT631" s="23"/>
      <c r="BU631" s="23"/>
      <c r="BV631" s="23"/>
      <c r="BW631" s="23"/>
      <c r="BX631" s="23"/>
      <c r="BY631" s="23"/>
      <c r="BZ631" s="23"/>
      <c r="CA631" s="23"/>
      <c r="CB631" s="23"/>
      <c r="CC631" s="23"/>
      <c r="CD631" s="23"/>
      <c r="CE631" s="23"/>
      <c r="CF631" s="23"/>
      <c r="CG631" s="23"/>
      <c r="CH631" s="27"/>
      <c r="CI631" s="64" t="str">
        <f>AI631</f>
        <v>87,006.6</v>
      </c>
      <c r="CJ631" s="27"/>
      <c r="CK631" s="28"/>
      <c r="CL631" s="39"/>
    </row>
    <row r="632" spans="1:90" ht="14.25" customHeight="1" x14ac:dyDescent="0.25">
      <c r="A632" s="20"/>
      <c r="B632" s="31"/>
      <c r="C632" s="30"/>
      <c r="D632" s="23"/>
      <c r="E632" s="23"/>
      <c r="F632" s="23"/>
      <c r="G632" s="23" t="s">
        <v>361</v>
      </c>
      <c r="H632" s="23"/>
      <c r="I632" s="23"/>
      <c r="J632" s="23"/>
      <c r="K632" s="23"/>
      <c r="L632" s="23"/>
      <c r="M632" s="23"/>
      <c r="N632" s="23" t="s">
        <v>121</v>
      </c>
      <c r="O632" s="23"/>
      <c r="P632" s="23" t="str">
        <f>TEXT([1]노임및중기단가!$I$7,"#,##0")</f>
        <v>166,063</v>
      </c>
      <c r="Q632" s="23"/>
      <c r="R632" s="23"/>
      <c r="S632" s="23"/>
      <c r="T632" s="23"/>
      <c r="U632" s="23"/>
      <c r="V632" s="23"/>
      <c r="W632" s="23" t="s">
        <v>102</v>
      </c>
      <c r="X632" s="23"/>
      <c r="Y632" s="23"/>
      <c r="Z632" s="23" t="str">
        <f>TEXT(0.11,"#,##0.#######")</f>
        <v>0.11</v>
      </c>
      <c r="AA632" s="23"/>
      <c r="AB632" s="23"/>
      <c r="AC632" s="23"/>
      <c r="AD632" s="23" t="s">
        <v>243</v>
      </c>
      <c r="AE632" s="23"/>
      <c r="AF632" s="23"/>
      <c r="AG632" s="23" t="s">
        <v>103</v>
      </c>
      <c r="AH632" s="23"/>
      <c r="AI632" s="23" t="str">
        <f>TEXT(TRUNC(P632*Z632,1),"#,##0.#")</f>
        <v>18,266.9</v>
      </c>
      <c r="AJ632" s="23"/>
      <c r="AK632" s="23"/>
      <c r="AL632" s="29"/>
      <c r="AM632" s="29"/>
      <c r="AN632" s="29"/>
      <c r="AO632" s="29"/>
      <c r="AP632" s="29"/>
      <c r="AQ632" s="29"/>
      <c r="AR632" s="29"/>
      <c r="AS632" s="23"/>
      <c r="AT632" s="23"/>
      <c r="AU632" s="23"/>
      <c r="AV632" s="23"/>
      <c r="AW632" s="23"/>
      <c r="AX632" s="23"/>
      <c r="AY632" s="23"/>
      <c r="AZ632" s="23"/>
      <c r="BA632" s="23"/>
      <c r="BB632" s="23"/>
      <c r="BC632" s="23"/>
      <c r="BD632" s="23"/>
      <c r="BE632" s="23"/>
      <c r="BF632" s="23"/>
      <c r="BG632" s="23"/>
      <c r="BH632" s="23"/>
      <c r="BI632" s="23"/>
      <c r="BJ632" s="23"/>
      <c r="BK632" s="23"/>
      <c r="BL632" s="23"/>
      <c r="BM632" s="23"/>
      <c r="BN632" s="23"/>
      <c r="BO632" s="23"/>
      <c r="BP632" s="23"/>
      <c r="BQ632" s="23"/>
      <c r="BR632" s="23"/>
      <c r="BS632" s="23"/>
      <c r="BT632" s="23"/>
      <c r="BU632" s="23"/>
      <c r="BV632" s="23"/>
      <c r="BW632" s="23"/>
      <c r="BX632" s="23"/>
      <c r="BY632" s="23"/>
      <c r="BZ632" s="23"/>
      <c r="CA632" s="23"/>
      <c r="CB632" s="23"/>
      <c r="CC632" s="23"/>
      <c r="CD632" s="23"/>
      <c r="CE632" s="23"/>
      <c r="CF632" s="23"/>
      <c r="CG632" s="23"/>
      <c r="CH632" s="27"/>
      <c r="CI632" s="64" t="str">
        <f>AI632</f>
        <v>18,266.9</v>
      </c>
      <c r="CJ632" s="27"/>
      <c r="CK632" s="28"/>
      <c r="CL632" s="39"/>
    </row>
    <row r="633" spans="1:90" ht="14.25" customHeight="1" x14ac:dyDescent="0.25">
      <c r="A633" s="20"/>
      <c r="B633" s="31"/>
      <c r="C633" s="30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9"/>
      <c r="AP633" s="29"/>
      <c r="AQ633" s="29"/>
      <c r="AR633" s="29"/>
      <c r="AS633" s="23"/>
      <c r="AT633" s="23"/>
      <c r="AU633" s="23"/>
      <c r="AV633" s="23"/>
      <c r="AW633" s="23"/>
      <c r="AX633" s="23"/>
      <c r="AY633" s="23"/>
      <c r="AZ633" s="23"/>
      <c r="BA633" s="23"/>
      <c r="BB633" s="23"/>
      <c r="BC633" s="23"/>
      <c r="BD633" s="23"/>
      <c r="BE633" s="23"/>
      <c r="BF633" s="23"/>
      <c r="BG633" s="23"/>
      <c r="BH633" s="23"/>
      <c r="BI633" s="23"/>
      <c r="BJ633" s="23"/>
      <c r="BK633" s="23"/>
      <c r="BL633" s="23"/>
      <c r="BM633" s="23"/>
      <c r="BN633" s="23"/>
      <c r="BO633" s="23"/>
      <c r="BP633" s="23"/>
      <c r="BQ633" s="23"/>
      <c r="BR633" s="23"/>
      <c r="BS633" s="23"/>
      <c r="BT633" s="23"/>
      <c r="BU633" s="23"/>
      <c r="BV633" s="23"/>
      <c r="BW633" s="23"/>
      <c r="BX633" s="23"/>
      <c r="BY633" s="23"/>
      <c r="BZ633" s="23"/>
      <c r="CA633" s="23"/>
      <c r="CB633" s="23"/>
      <c r="CC633" s="23"/>
      <c r="CD633" s="23"/>
      <c r="CE633" s="23"/>
      <c r="CF633" s="23"/>
      <c r="CG633" s="23"/>
      <c r="CH633" s="27"/>
      <c r="CI633" s="64"/>
      <c r="CJ633" s="27"/>
      <c r="CK633" s="28"/>
      <c r="CL633" s="39"/>
    </row>
    <row r="634" spans="1:90" ht="14.25" customHeight="1" x14ac:dyDescent="0.25">
      <c r="A634" s="20"/>
      <c r="B634" s="31"/>
      <c r="C634" s="30"/>
      <c r="D634" s="23" t="s">
        <v>237</v>
      </c>
      <c r="E634" s="23"/>
      <c r="F634" s="23"/>
      <c r="G634" s="23" t="s">
        <v>362</v>
      </c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9"/>
      <c r="AP634" s="29"/>
      <c r="AQ634" s="29"/>
      <c r="AR634" s="29"/>
      <c r="AS634" s="23"/>
      <c r="AT634" s="23"/>
      <c r="AU634" s="23"/>
      <c r="AV634" s="23"/>
      <c r="AW634" s="23"/>
      <c r="AX634" s="23"/>
      <c r="AY634" s="23"/>
      <c r="AZ634" s="23"/>
      <c r="BA634" s="23"/>
      <c r="BB634" s="23"/>
      <c r="BC634" s="23"/>
      <c r="BD634" s="23"/>
      <c r="BE634" s="23"/>
      <c r="BF634" s="23"/>
      <c r="BG634" s="23"/>
      <c r="BH634" s="23"/>
      <c r="BI634" s="23"/>
      <c r="BJ634" s="23"/>
      <c r="BK634" s="23"/>
      <c r="BL634" s="23"/>
      <c r="BM634" s="23"/>
      <c r="BN634" s="23"/>
      <c r="BO634" s="23"/>
      <c r="BP634" s="23"/>
      <c r="BQ634" s="23"/>
      <c r="BR634" s="23"/>
      <c r="BS634" s="23"/>
      <c r="BT634" s="23"/>
      <c r="BU634" s="23"/>
      <c r="BV634" s="23"/>
      <c r="BW634" s="23"/>
      <c r="BX634" s="23"/>
      <c r="BY634" s="23"/>
      <c r="BZ634" s="23"/>
      <c r="CA634" s="23"/>
      <c r="CB634" s="23"/>
      <c r="CC634" s="23"/>
      <c r="CD634" s="23"/>
      <c r="CE634" s="23"/>
      <c r="CF634" s="23"/>
      <c r="CG634" s="23"/>
      <c r="CH634" s="27"/>
      <c r="CI634" s="64"/>
      <c r="CJ634" s="27"/>
      <c r="CK634" s="28"/>
      <c r="CL634" s="39"/>
    </row>
    <row r="635" spans="1:90" ht="14.25" customHeight="1" x14ac:dyDescent="0.25">
      <c r="A635" s="20"/>
      <c r="B635" s="31"/>
      <c r="C635" s="30"/>
      <c r="D635" s="23"/>
      <c r="E635" s="23"/>
      <c r="F635" s="23"/>
      <c r="G635" s="23" t="s">
        <v>363</v>
      </c>
      <c r="H635" s="23"/>
      <c r="I635" s="23"/>
      <c r="J635" s="23"/>
      <c r="K635" s="23"/>
      <c r="L635" s="23"/>
      <c r="M635" s="23"/>
      <c r="N635" s="23"/>
      <c r="O635" s="23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  <c r="AB635" s="34"/>
      <c r="AC635" s="34"/>
      <c r="AD635" s="34"/>
      <c r="AE635" s="34"/>
      <c r="AF635" s="34"/>
      <c r="AG635" s="34"/>
      <c r="AH635" s="34"/>
      <c r="AI635" s="34"/>
      <c r="AJ635" s="34"/>
      <c r="AK635" s="34"/>
      <c r="AL635" s="34"/>
      <c r="AM635" s="29"/>
      <c r="AN635" s="29"/>
      <c r="AO635" s="29"/>
      <c r="AP635" s="29"/>
      <c r="AQ635" s="29"/>
      <c r="AR635" s="29"/>
      <c r="AS635" s="29"/>
      <c r="AT635" s="29"/>
      <c r="AU635" s="29"/>
      <c r="AV635" s="29"/>
      <c r="AW635" s="29"/>
      <c r="AX635" s="29"/>
      <c r="AY635" s="29"/>
      <c r="AZ635" s="29"/>
      <c r="BA635" s="23"/>
      <c r="BB635" s="23"/>
      <c r="BC635" s="23"/>
      <c r="BD635" s="23"/>
      <c r="BE635" s="23"/>
      <c r="BF635" s="23"/>
      <c r="BG635" s="23"/>
      <c r="BH635" s="23"/>
      <c r="BI635" s="23"/>
      <c r="BJ635" s="23"/>
      <c r="BK635" s="23"/>
      <c r="BL635" s="23"/>
      <c r="BM635" s="23"/>
      <c r="BN635" s="23"/>
      <c r="BO635" s="23"/>
      <c r="BP635" s="23"/>
      <c r="BQ635" s="23"/>
      <c r="BR635" s="23"/>
      <c r="BS635" s="23"/>
      <c r="BT635" s="23"/>
      <c r="BU635" s="23"/>
      <c r="BV635" s="23"/>
      <c r="BW635" s="23"/>
      <c r="BX635" s="23"/>
      <c r="BY635" s="23"/>
      <c r="BZ635" s="23"/>
      <c r="CA635" s="23"/>
      <c r="CB635" s="23"/>
      <c r="CC635" s="23"/>
      <c r="CD635" s="23"/>
      <c r="CE635" s="23"/>
      <c r="CF635" s="23"/>
      <c r="CG635" s="23"/>
      <c r="CH635" s="27"/>
      <c r="CI635" s="64"/>
      <c r="CJ635" s="27"/>
      <c r="CK635" s="28"/>
      <c r="CL635" s="39"/>
    </row>
    <row r="636" spans="1:90" ht="14.25" customHeight="1" x14ac:dyDescent="0.25">
      <c r="A636" s="20"/>
      <c r="B636" s="31"/>
      <c r="C636" s="30"/>
      <c r="D636" s="23"/>
      <c r="E636" s="23"/>
      <c r="F636" s="23"/>
      <c r="G636" s="23" t="s">
        <v>120</v>
      </c>
      <c r="H636" s="23"/>
      <c r="I636" s="23"/>
      <c r="J636" s="23"/>
      <c r="K636" s="23"/>
      <c r="L636" s="23"/>
      <c r="M636" s="23"/>
      <c r="N636" s="23" t="s">
        <v>121</v>
      </c>
      <c r="O636" s="23"/>
      <c r="P636" s="23" t="str">
        <f>TEXT(TRUNC(0,0),"#,##0")</f>
        <v>0</v>
      </c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34"/>
      <c r="AC636" s="34"/>
      <c r="AD636" s="34"/>
      <c r="AE636" s="34"/>
      <c r="AF636" s="23"/>
      <c r="AG636" s="23"/>
      <c r="AH636" s="23"/>
      <c r="AI636" s="34"/>
      <c r="AJ636" s="34"/>
      <c r="AK636" s="23"/>
      <c r="AL636" s="29"/>
      <c r="AM636" s="29"/>
      <c r="AN636" s="29"/>
      <c r="AO636" s="29"/>
      <c r="AP636" s="29"/>
      <c r="AQ636" s="29"/>
      <c r="AR636" s="29"/>
      <c r="AS636" s="29"/>
      <c r="AT636" s="29"/>
      <c r="AU636" s="29"/>
      <c r="AV636" s="29"/>
      <c r="AW636" s="29"/>
      <c r="AX636" s="29"/>
      <c r="AY636" s="29"/>
      <c r="AZ636" s="29"/>
      <c r="BA636" s="23"/>
      <c r="BB636" s="23"/>
      <c r="BC636" s="23"/>
      <c r="BD636" s="23"/>
      <c r="BE636" s="23"/>
      <c r="BF636" s="23"/>
      <c r="BG636" s="23"/>
      <c r="BH636" s="23"/>
      <c r="BI636" s="23"/>
      <c r="BJ636" s="23"/>
      <c r="BK636" s="23"/>
      <c r="BL636" s="23"/>
      <c r="BM636" s="23"/>
      <c r="BN636" s="23"/>
      <c r="BO636" s="23"/>
      <c r="BP636" s="23"/>
      <c r="BQ636" s="23"/>
      <c r="BR636" s="23"/>
      <c r="BS636" s="23"/>
      <c r="BT636" s="23"/>
      <c r="BU636" s="23"/>
      <c r="BV636" s="23"/>
      <c r="BW636" s="23"/>
      <c r="BX636" s="23"/>
      <c r="BY636" s="23"/>
      <c r="BZ636" s="23"/>
      <c r="CA636" s="23"/>
      <c r="CB636" s="23"/>
      <c r="CC636" s="23"/>
      <c r="CD636" s="23"/>
      <c r="CE636" s="23"/>
      <c r="CF636" s="23"/>
      <c r="CG636" s="23"/>
      <c r="CH636" s="27"/>
      <c r="CI636" s="64"/>
      <c r="CJ636" s="27"/>
      <c r="CK636" s="28"/>
      <c r="CL636" s="39"/>
    </row>
    <row r="637" spans="1:90" ht="14.25" customHeight="1" x14ac:dyDescent="0.25">
      <c r="A637" s="20"/>
      <c r="B637" s="31"/>
      <c r="C637" s="30"/>
      <c r="D637" s="23"/>
      <c r="E637" s="23"/>
      <c r="F637" s="23"/>
      <c r="G637" s="23" t="s">
        <v>123</v>
      </c>
      <c r="H637" s="23"/>
      <c r="I637" s="23"/>
      <c r="J637" s="23"/>
      <c r="K637" s="23"/>
      <c r="L637" s="23"/>
      <c r="M637" s="23"/>
      <c r="N637" s="23" t="s">
        <v>121</v>
      </c>
      <c r="O637" s="23"/>
      <c r="P637" s="23" t="str">
        <f>TEXT(TRUNC(0,0),"#,##0")</f>
        <v>0</v>
      </c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34"/>
      <c r="AC637" s="34"/>
      <c r="AD637" s="34"/>
      <c r="AE637" s="34"/>
      <c r="AF637" s="23"/>
      <c r="AG637" s="23"/>
      <c r="AH637" s="23"/>
      <c r="AI637" s="34"/>
      <c r="AJ637" s="34"/>
      <c r="AK637" s="23"/>
      <c r="AL637" s="29"/>
      <c r="AM637" s="29"/>
      <c r="AN637" s="29"/>
      <c r="AO637" s="29"/>
      <c r="AP637" s="29"/>
      <c r="AQ637" s="29"/>
      <c r="AR637" s="29"/>
      <c r="AS637" s="29"/>
      <c r="AT637" s="29"/>
      <c r="AU637" s="29"/>
      <c r="AV637" s="29"/>
      <c r="AW637" s="29"/>
      <c r="AX637" s="29"/>
      <c r="AY637" s="29"/>
      <c r="AZ637" s="29"/>
      <c r="BA637" s="23"/>
      <c r="BB637" s="23"/>
      <c r="BC637" s="23"/>
      <c r="BD637" s="23"/>
      <c r="BE637" s="23"/>
      <c r="BF637" s="23"/>
      <c r="BG637" s="23"/>
      <c r="BH637" s="23"/>
      <c r="BI637" s="23"/>
      <c r="BJ637" s="23"/>
      <c r="BK637" s="23"/>
      <c r="BL637" s="23"/>
      <c r="BM637" s="23"/>
      <c r="BN637" s="23"/>
      <c r="BO637" s="23"/>
      <c r="BP637" s="23"/>
      <c r="BQ637" s="23"/>
      <c r="BR637" s="23"/>
      <c r="BS637" s="23"/>
      <c r="BT637" s="23"/>
      <c r="BU637" s="23"/>
      <c r="BV637" s="23"/>
      <c r="BW637" s="23"/>
      <c r="BX637" s="23"/>
      <c r="BY637" s="23"/>
      <c r="BZ637" s="23"/>
      <c r="CA637" s="23"/>
      <c r="CB637" s="23"/>
      <c r="CC637" s="23"/>
      <c r="CD637" s="23"/>
      <c r="CE637" s="23"/>
      <c r="CF637" s="23"/>
      <c r="CG637" s="23"/>
      <c r="CH637" s="27"/>
      <c r="CI637" s="64"/>
      <c r="CJ637" s="27"/>
      <c r="CK637" s="28"/>
      <c r="CL637" s="39"/>
    </row>
    <row r="638" spans="1:90" ht="14.25" customHeight="1" x14ac:dyDescent="0.25">
      <c r="A638" s="20"/>
      <c r="B638" s="31"/>
      <c r="C638" s="30"/>
      <c r="D638" s="23"/>
      <c r="E638" s="23"/>
      <c r="F638" s="23"/>
      <c r="G638" s="23" t="s">
        <v>124</v>
      </c>
      <c r="H638" s="23"/>
      <c r="I638" s="23"/>
      <c r="J638" s="23"/>
      <c r="K638" s="23" t="s">
        <v>125</v>
      </c>
      <c r="L638" s="23"/>
      <c r="M638" s="23"/>
      <c r="N638" s="23" t="s">
        <v>121</v>
      </c>
      <c r="O638" s="23"/>
      <c r="P638" s="23" t="str">
        <f>TEXT([1]기계경비총괄표!$H$58,"#,##0")</f>
        <v>106</v>
      </c>
      <c r="Q638" s="23"/>
      <c r="R638" s="23"/>
      <c r="S638" s="23"/>
      <c r="T638" s="23"/>
      <c r="U638" s="23"/>
      <c r="V638" s="23"/>
      <c r="W638" s="23" t="s">
        <v>102</v>
      </c>
      <c r="X638" s="23"/>
      <c r="Y638" s="23"/>
      <c r="Z638" s="23" t="str">
        <f>TEXT(3.12,"#,##0.#######")</f>
        <v>3.12</v>
      </c>
      <c r="AA638" s="23"/>
      <c r="AB638" s="23"/>
      <c r="AC638" s="23"/>
      <c r="AD638" s="23" t="s">
        <v>364</v>
      </c>
      <c r="AE638" s="23"/>
      <c r="AF638" s="23"/>
      <c r="AG638" s="23" t="s">
        <v>103</v>
      </c>
      <c r="AH638" s="23"/>
      <c r="AI638" s="23" t="str">
        <f>TEXT(TRUNC(P638*Z638,1),"#,##0.#")</f>
        <v>330.7</v>
      </c>
      <c r="AJ638" s="23"/>
      <c r="AK638" s="23"/>
      <c r="AL638" s="29"/>
      <c r="AM638" s="29"/>
      <c r="AN638" s="29"/>
      <c r="AO638" s="29"/>
      <c r="AP638" s="29"/>
      <c r="AQ638" s="29"/>
      <c r="AR638" s="29"/>
      <c r="AS638" s="29"/>
      <c r="AT638" s="29"/>
      <c r="AU638" s="29"/>
      <c r="AV638" s="29"/>
      <c r="AW638" s="29"/>
      <c r="AX638" s="29"/>
      <c r="AY638" s="29"/>
      <c r="AZ638" s="29"/>
      <c r="BA638" s="23"/>
      <c r="BB638" s="23"/>
      <c r="BC638" s="23"/>
      <c r="BD638" s="23"/>
      <c r="BE638" s="23"/>
      <c r="BF638" s="23"/>
      <c r="BG638" s="23"/>
      <c r="BH638" s="23"/>
      <c r="BI638" s="23"/>
      <c r="BJ638" s="23"/>
      <c r="BK638" s="23"/>
      <c r="BL638" s="23"/>
      <c r="BM638" s="23"/>
      <c r="BN638" s="23"/>
      <c r="BO638" s="23"/>
      <c r="BP638" s="23"/>
      <c r="BQ638" s="23"/>
      <c r="BR638" s="23"/>
      <c r="BS638" s="23"/>
      <c r="BT638" s="23"/>
      <c r="BU638" s="23"/>
      <c r="BV638" s="23"/>
      <c r="BW638" s="23"/>
      <c r="BX638" s="23"/>
      <c r="BY638" s="23"/>
      <c r="BZ638" s="23"/>
      <c r="CA638" s="23"/>
      <c r="CB638" s="23"/>
      <c r="CC638" s="23"/>
      <c r="CD638" s="23"/>
      <c r="CE638" s="23"/>
      <c r="CF638" s="23"/>
      <c r="CG638" s="23"/>
      <c r="CH638" s="27"/>
      <c r="CI638" s="64"/>
      <c r="CJ638" s="27"/>
      <c r="CK638" s="28" t="str">
        <f>AI638</f>
        <v>330.7</v>
      </c>
      <c r="CL638" s="39"/>
    </row>
    <row r="639" spans="1:90" ht="14.25" customHeight="1" x14ac:dyDescent="0.25">
      <c r="A639" s="20"/>
      <c r="B639" s="31"/>
      <c r="C639" s="30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9"/>
      <c r="AM639" s="29"/>
      <c r="AN639" s="29"/>
      <c r="AO639" s="29"/>
      <c r="AP639" s="29"/>
      <c r="AQ639" s="29"/>
      <c r="AR639" s="29"/>
      <c r="AS639" s="29"/>
      <c r="AT639" s="29"/>
      <c r="AU639" s="29"/>
      <c r="AV639" s="29"/>
      <c r="AW639" s="29"/>
      <c r="AX639" s="29"/>
      <c r="AY639" s="29"/>
      <c r="AZ639" s="29"/>
      <c r="BA639" s="23"/>
      <c r="BB639" s="23"/>
      <c r="BC639" s="23"/>
      <c r="BD639" s="23"/>
      <c r="BE639" s="23"/>
      <c r="BF639" s="23"/>
      <c r="BG639" s="23"/>
      <c r="BH639" s="23"/>
      <c r="BI639" s="23"/>
      <c r="BJ639" s="23"/>
      <c r="BK639" s="23"/>
      <c r="BL639" s="23"/>
      <c r="BM639" s="23"/>
      <c r="BN639" s="23"/>
      <c r="BO639" s="23"/>
      <c r="BP639" s="23"/>
      <c r="BQ639" s="23"/>
      <c r="BR639" s="23"/>
      <c r="BS639" s="23"/>
      <c r="BT639" s="23"/>
      <c r="BU639" s="23"/>
      <c r="BV639" s="23"/>
      <c r="BW639" s="23"/>
      <c r="BX639" s="23"/>
      <c r="BY639" s="23"/>
      <c r="BZ639" s="23"/>
      <c r="CA639" s="23"/>
      <c r="CB639" s="23"/>
      <c r="CC639" s="23"/>
      <c r="CD639" s="23"/>
      <c r="CE639" s="23"/>
      <c r="CF639" s="23"/>
      <c r="CG639" s="23"/>
      <c r="CH639" s="27"/>
      <c r="CI639" s="64"/>
      <c r="CJ639" s="27"/>
      <c r="CK639" s="28"/>
      <c r="CL639" s="39"/>
    </row>
    <row r="640" spans="1:90" ht="14.25" customHeight="1" x14ac:dyDescent="0.25">
      <c r="A640" s="20"/>
      <c r="B640" s="31"/>
      <c r="C640" s="30"/>
      <c r="D640" s="23"/>
      <c r="E640" s="23"/>
      <c r="F640" s="23"/>
      <c r="G640" s="23" t="s">
        <v>365</v>
      </c>
      <c r="H640" s="23"/>
      <c r="I640" s="23"/>
      <c r="J640" s="23"/>
      <c r="K640" s="23"/>
      <c r="L640" s="23"/>
      <c r="M640" s="23"/>
      <c r="N640" s="23" t="s">
        <v>121</v>
      </c>
      <c r="O640" s="23"/>
      <c r="P640" s="23" t="str">
        <f>TEXT([1]자재단가!$M$110,"#,###.#")</f>
        <v>59.2</v>
      </c>
      <c r="Q640" s="23"/>
      <c r="R640" s="23"/>
      <c r="S640" s="23"/>
      <c r="T640" s="23"/>
      <c r="U640" s="23"/>
      <c r="V640" s="23"/>
      <c r="W640" s="23" t="s">
        <v>102</v>
      </c>
      <c r="X640" s="23"/>
      <c r="Y640" s="23"/>
      <c r="Z640" s="23" t="str">
        <f>TEXT(18.9,"#,##0.#######")</f>
        <v>18.9</v>
      </c>
      <c r="AA640" s="23"/>
      <c r="AB640" s="23"/>
      <c r="AC640" s="23"/>
      <c r="AD640" s="23" t="s">
        <v>366</v>
      </c>
      <c r="AE640" s="23"/>
      <c r="AF640" s="23"/>
      <c r="AG640" s="23" t="s">
        <v>103</v>
      </c>
      <c r="AH640" s="23"/>
      <c r="AI640" s="23" t="str">
        <f>TEXT(TRUNC(P640*Z640,1),"#,##0.#")</f>
        <v>1,118.8</v>
      </c>
      <c r="AJ640" s="23"/>
      <c r="AK640" s="23"/>
      <c r="AL640" s="29"/>
      <c r="AM640" s="29"/>
      <c r="AN640" s="29"/>
      <c r="AO640" s="29"/>
      <c r="AP640" s="29"/>
      <c r="AQ640" s="29"/>
      <c r="AR640" s="29"/>
      <c r="AS640" s="29"/>
      <c r="AT640" s="29"/>
      <c r="AU640" s="29"/>
      <c r="AV640" s="29"/>
      <c r="AW640" s="29"/>
      <c r="AX640" s="29"/>
      <c r="AY640" s="29"/>
      <c r="AZ640" s="29"/>
      <c r="BA640" s="23"/>
      <c r="BB640" s="23"/>
      <c r="BC640" s="23"/>
      <c r="BD640" s="23"/>
      <c r="BE640" s="23"/>
      <c r="BF640" s="23"/>
      <c r="BG640" s="23"/>
      <c r="BH640" s="23"/>
      <c r="BI640" s="23"/>
      <c r="BJ640" s="23"/>
      <c r="BK640" s="23"/>
      <c r="BL640" s="23"/>
      <c r="BM640" s="23"/>
      <c r="BN640" s="23"/>
      <c r="BO640" s="23"/>
      <c r="BP640" s="23"/>
      <c r="BQ640" s="23"/>
      <c r="BR640" s="23"/>
      <c r="BS640" s="23"/>
      <c r="BT640" s="23"/>
      <c r="BU640" s="23"/>
      <c r="BV640" s="23"/>
      <c r="BW640" s="23"/>
      <c r="BX640" s="23"/>
      <c r="BY640" s="23"/>
      <c r="BZ640" s="23"/>
      <c r="CA640" s="23"/>
      <c r="CB640" s="23"/>
      <c r="CC640" s="23"/>
      <c r="CD640" s="23"/>
      <c r="CE640" s="23"/>
      <c r="CF640" s="23"/>
      <c r="CG640" s="23"/>
      <c r="CH640" s="27"/>
      <c r="CI640" s="64"/>
      <c r="CJ640" s="27"/>
      <c r="CK640" s="28" t="str">
        <f>AI640</f>
        <v>1,118.8</v>
      </c>
      <c r="CL640" s="39"/>
    </row>
    <row r="641" spans="1:90" ht="14.25" customHeight="1" x14ac:dyDescent="0.25">
      <c r="A641" s="20"/>
      <c r="B641" s="31"/>
      <c r="C641" s="30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9"/>
      <c r="AJ641" s="29"/>
      <c r="AK641" s="29"/>
      <c r="AL641" s="29"/>
      <c r="AM641" s="29"/>
      <c r="AN641" s="29"/>
      <c r="AO641" s="29"/>
      <c r="AP641" s="29"/>
      <c r="AQ641" s="29"/>
      <c r="AR641" s="29"/>
      <c r="AS641" s="29"/>
      <c r="AT641" s="29"/>
      <c r="AU641" s="29"/>
      <c r="AV641" s="29"/>
      <c r="AW641" s="29"/>
      <c r="AX641" s="29"/>
      <c r="AY641" s="29"/>
      <c r="AZ641" s="29"/>
      <c r="BA641" s="23"/>
      <c r="BB641" s="23"/>
      <c r="BC641" s="23"/>
      <c r="BD641" s="23"/>
      <c r="BE641" s="23"/>
      <c r="BF641" s="23"/>
      <c r="BG641" s="23"/>
      <c r="BH641" s="23"/>
      <c r="BI641" s="23"/>
      <c r="BJ641" s="23"/>
      <c r="BK641" s="23"/>
      <c r="BL641" s="23"/>
      <c r="BM641" s="23"/>
      <c r="BN641" s="23"/>
      <c r="BO641" s="23"/>
      <c r="BP641" s="23"/>
      <c r="BQ641" s="23"/>
      <c r="BR641" s="23"/>
      <c r="BS641" s="23"/>
      <c r="BT641" s="23"/>
      <c r="BU641" s="23"/>
      <c r="BV641" s="23"/>
      <c r="BW641" s="23"/>
      <c r="BX641" s="23"/>
      <c r="BY641" s="23"/>
      <c r="BZ641" s="23"/>
      <c r="CA641" s="23"/>
      <c r="CB641" s="23"/>
      <c r="CC641" s="23"/>
      <c r="CD641" s="23"/>
      <c r="CE641" s="23"/>
      <c r="CF641" s="23"/>
      <c r="CG641" s="23"/>
      <c r="CH641" s="27"/>
      <c r="CI641" s="64"/>
      <c r="CJ641" s="27"/>
      <c r="CK641" s="28"/>
      <c r="CL641" s="39"/>
    </row>
    <row r="642" spans="1:90" ht="14.25" customHeight="1" x14ac:dyDescent="0.2">
      <c r="A642" s="20"/>
      <c r="B642" s="31"/>
      <c r="C642" s="30"/>
      <c r="D642" s="23" t="s">
        <v>85</v>
      </c>
      <c r="E642" s="23"/>
      <c r="F642" s="23"/>
      <c r="G642" s="23" t="s">
        <v>323</v>
      </c>
      <c r="H642" s="23"/>
      <c r="I642" s="23"/>
      <c r="J642" s="23"/>
      <c r="K642" s="23" t="s">
        <v>127</v>
      </c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  <c r="AZ642" s="23"/>
      <c r="BA642" s="23"/>
      <c r="BB642" s="23"/>
      <c r="BC642" s="23"/>
      <c r="BD642" s="23"/>
      <c r="BE642" s="23"/>
      <c r="BF642" s="23"/>
      <c r="BG642" s="23"/>
      <c r="BH642" s="23"/>
      <c r="BI642" s="23"/>
      <c r="BJ642" s="23"/>
      <c r="BK642" s="34"/>
      <c r="BL642" s="34"/>
      <c r="BM642" s="34"/>
      <c r="BN642" s="34"/>
      <c r="BO642" s="34"/>
      <c r="BP642" s="34"/>
      <c r="BQ642" s="34"/>
      <c r="BR642" s="34"/>
      <c r="BS642" s="34"/>
      <c r="BT642" s="23"/>
      <c r="BU642" s="23"/>
      <c r="BV642" s="23"/>
      <c r="BW642" s="23"/>
      <c r="BX642" s="23"/>
      <c r="BY642" s="23"/>
      <c r="BZ642" s="23"/>
      <c r="CA642" s="23"/>
      <c r="CB642" s="23"/>
      <c r="CC642" s="23"/>
      <c r="CD642" s="23"/>
      <c r="CE642" s="23"/>
      <c r="CF642" s="23"/>
      <c r="CG642" s="23"/>
      <c r="CH642" s="27"/>
      <c r="CI642" s="64"/>
      <c r="CJ642" s="27"/>
      <c r="CK642" s="28"/>
      <c r="CL642" s="39"/>
    </row>
    <row r="643" spans="1:90" ht="14.25" customHeight="1" x14ac:dyDescent="0.25">
      <c r="A643" s="20"/>
      <c r="B643" s="31"/>
      <c r="C643" s="30"/>
      <c r="D643" s="34"/>
      <c r="E643" s="23"/>
      <c r="F643" s="23"/>
      <c r="G643" s="23"/>
      <c r="H643" s="23" t="s">
        <v>120</v>
      </c>
      <c r="I643" s="23"/>
      <c r="J643" s="23"/>
      <c r="K643" s="23"/>
      <c r="L643" s="23"/>
      <c r="M643" s="23"/>
      <c r="N643" s="23"/>
      <c r="O643" s="23" t="s">
        <v>121</v>
      </c>
      <c r="P643" s="23"/>
      <c r="Q643" s="23" t="str">
        <f>TEXT(AI629,"#,###.##")</f>
        <v>1,128,862.8</v>
      </c>
      <c r="R643" s="23"/>
      <c r="S643" s="23"/>
      <c r="T643" s="23"/>
      <c r="U643" s="23"/>
      <c r="V643" s="34"/>
      <c r="W643" s="34"/>
      <c r="X643" s="34"/>
      <c r="Y643" s="23" t="s">
        <v>97</v>
      </c>
      <c r="Z643" s="34"/>
      <c r="AA643" s="23" t="str">
        <f>TEXT(AI630,"#,###.##")</f>
        <v>13,829.</v>
      </c>
      <c r="AB643" s="34"/>
      <c r="AC643" s="34"/>
      <c r="AD643" s="34"/>
      <c r="AE643" s="34"/>
      <c r="AF643" s="23" t="s">
        <v>97</v>
      </c>
      <c r="AG643" s="34"/>
      <c r="AH643" s="23" t="str">
        <f>TEXT(AI631,"#,###.##")</f>
        <v>87,006.6</v>
      </c>
      <c r="AI643" s="34"/>
      <c r="AJ643" s="34"/>
      <c r="AK643" s="34"/>
      <c r="AL643" s="34"/>
      <c r="AM643" s="34"/>
      <c r="AN643" s="23" t="s">
        <v>97</v>
      </c>
      <c r="AO643" s="34"/>
      <c r="AP643" s="23" t="str">
        <f>TEXT(AI632,"#,###.##")</f>
        <v>18,266.9</v>
      </c>
      <c r="AQ643" s="23"/>
      <c r="AR643" s="23"/>
      <c r="AS643" s="23"/>
      <c r="AT643" s="29"/>
      <c r="AU643" s="23"/>
      <c r="AV643" s="23" t="s">
        <v>103</v>
      </c>
      <c r="AW643" s="23"/>
      <c r="AX643" s="23" t="str">
        <f>TEXT(TRUNC(Q643+AA643+AH643+AP643,0),"#,##0")</f>
        <v>1,247,965</v>
      </c>
      <c r="AY643" s="34"/>
      <c r="AZ643" s="23"/>
      <c r="BA643" s="23"/>
      <c r="BB643" s="23"/>
      <c r="BC643" s="29"/>
      <c r="BD643" s="29"/>
      <c r="BE643" s="23"/>
      <c r="BF643" s="23"/>
      <c r="BG643" s="34"/>
      <c r="BH643" s="23"/>
      <c r="BI643" s="23"/>
      <c r="BJ643" s="23"/>
      <c r="BK643" s="34"/>
      <c r="BL643" s="34"/>
      <c r="BM643" s="34"/>
      <c r="BN643" s="34"/>
      <c r="BO643" s="34"/>
      <c r="BP643" s="34"/>
      <c r="BQ643" s="34"/>
      <c r="BR643" s="34"/>
      <c r="BS643" s="34"/>
      <c r="BT643" s="29"/>
      <c r="BU643" s="29"/>
      <c r="BV643" s="23"/>
      <c r="BW643" s="23"/>
      <c r="BX643" s="23"/>
      <c r="BY643" s="23"/>
      <c r="BZ643" s="23"/>
      <c r="CA643" s="23"/>
      <c r="CB643" s="23"/>
      <c r="CC643" s="23"/>
      <c r="CD643" s="23"/>
      <c r="CE643" s="23"/>
      <c r="CF643" s="23"/>
      <c r="CG643" s="23"/>
      <c r="CH643" s="27"/>
      <c r="CI643" s="64"/>
      <c r="CJ643" s="27"/>
      <c r="CK643" s="28"/>
      <c r="CL643" s="39"/>
    </row>
    <row r="644" spans="1:90" ht="14.25" customHeight="1" x14ac:dyDescent="0.25">
      <c r="A644" s="20"/>
      <c r="B644" s="31"/>
      <c r="C644" s="30"/>
      <c r="D644" s="23"/>
      <c r="E644" s="23"/>
      <c r="F644" s="23"/>
      <c r="G644" s="23"/>
      <c r="H644" s="23" t="s">
        <v>123</v>
      </c>
      <c r="I644" s="23"/>
      <c r="J644" s="23"/>
      <c r="K644" s="23"/>
      <c r="L644" s="23"/>
      <c r="M644" s="23"/>
      <c r="N644" s="23"/>
      <c r="O644" s="23" t="s">
        <v>121</v>
      </c>
      <c r="P644" s="23"/>
      <c r="Q644" s="23" t="str">
        <f>TEXT(AJ624,"#,###.##")</f>
        <v>7,645.2</v>
      </c>
      <c r="R644" s="23"/>
      <c r="S644" s="23"/>
      <c r="T644" s="23"/>
      <c r="U644" s="23"/>
      <c r="V644" s="23" t="s">
        <v>97</v>
      </c>
      <c r="W644" s="23"/>
      <c r="X644" s="23" t="str">
        <f>TEXT(AJ625,"#,###.##")</f>
        <v>259,875.</v>
      </c>
      <c r="Y644" s="23"/>
      <c r="Z644" s="23"/>
      <c r="AA644" s="23"/>
      <c r="AB644" s="23"/>
      <c r="AC644" s="34"/>
      <c r="AD644" s="23" t="s">
        <v>97</v>
      </c>
      <c r="AE644" s="34"/>
      <c r="AF644" s="23" t="str">
        <f>TEXT(AJ626,"#,###.##")</f>
        <v>4,400.</v>
      </c>
      <c r="AG644" s="34"/>
      <c r="AH644" s="34"/>
      <c r="AI644" s="34"/>
      <c r="AJ644" s="34"/>
      <c r="AK644" s="34"/>
      <c r="AL644" s="23"/>
      <c r="AM644" s="23"/>
      <c r="AN644" s="23"/>
      <c r="AO644" s="23"/>
      <c r="AP644" s="23"/>
      <c r="AQ644" s="29"/>
      <c r="AR644" s="29"/>
      <c r="AS644" s="29"/>
      <c r="AT644" s="29"/>
      <c r="AU644" s="29"/>
      <c r="AV644" s="23" t="s">
        <v>103</v>
      </c>
      <c r="AW644" s="23"/>
      <c r="AX644" s="23" t="str">
        <f>TEXT(TRUNC(Q644+X644+AF644,0),"#,##0")</f>
        <v>271,920</v>
      </c>
      <c r="AY644" s="34"/>
      <c r="AZ644" s="23"/>
      <c r="BA644" s="23"/>
      <c r="BB644" s="23"/>
      <c r="BC644" s="23"/>
      <c r="BD644" s="23"/>
      <c r="BE644" s="23"/>
      <c r="BF644" s="23"/>
      <c r="BG644" s="23"/>
      <c r="BH644" s="23"/>
      <c r="BI644" s="23"/>
      <c r="BJ644" s="23"/>
      <c r="BK644" s="23"/>
      <c r="BL644" s="23"/>
      <c r="BM644" s="23"/>
      <c r="BN644" s="23"/>
      <c r="BO644" s="23"/>
      <c r="BP644" s="23"/>
      <c r="BQ644" s="23"/>
      <c r="BR644" s="23"/>
      <c r="BS644" s="23"/>
      <c r="BT644" s="23"/>
      <c r="BU644" s="23"/>
      <c r="BV644" s="23"/>
      <c r="BW644" s="23"/>
      <c r="BX644" s="23"/>
      <c r="BY644" s="23"/>
      <c r="BZ644" s="23"/>
      <c r="CA644" s="23"/>
      <c r="CB644" s="23"/>
      <c r="CC644" s="23"/>
      <c r="CD644" s="23"/>
      <c r="CE644" s="23"/>
      <c r="CF644" s="23"/>
      <c r="CG644" s="23"/>
      <c r="CH644" s="27"/>
      <c r="CI644" s="64"/>
      <c r="CJ644" s="27"/>
      <c r="CK644" s="28"/>
      <c r="CL644" s="39"/>
    </row>
    <row r="645" spans="1:90" ht="14.25" customHeight="1" x14ac:dyDescent="0.25">
      <c r="A645" s="20"/>
      <c r="B645" s="31"/>
      <c r="C645" s="30"/>
      <c r="D645" s="23"/>
      <c r="E645" s="23"/>
      <c r="F645" s="23"/>
      <c r="G645" s="23"/>
      <c r="H645" s="23" t="s">
        <v>124</v>
      </c>
      <c r="I645" s="23"/>
      <c r="J645" s="23"/>
      <c r="K645" s="23"/>
      <c r="L645" s="23" t="s">
        <v>125</v>
      </c>
      <c r="M645" s="23"/>
      <c r="N645" s="23"/>
      <c r="O645" s="23" t="s">
        <v>121</v>
      </c>
      <c r="P645" s="23"/>
      <c r="Q645" s="23" t="str">
        <f>TEXT(AI638,"#,###.##")</f>
        <v>330.7</v>
      </c>
      <c r="R645" s="23"/>
      <c r="S645" s="23"/>
      <c r="T645" s="23"/>
      <c r="U645" s="23"/>
      <c r="V645" s="23" t="s">
        <v>97</v>
      </c>
      <c r="W645" s="23"/>
      <c r="X645" s="23" t="str">
        <f>TEXT(AI640,"#,###.##")</f>
        <v>1,118.8</v>
      </c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9"/>
      <c r="AR645" s="29"/>
      <c r="AS645" s="29"/>
      <c r="AT645" s="23"/>
      <c r="AU645" s="29"/>
      <c r="AV645" s="23" t="s">
        <v>103</v>
      </c>
      <c r="AW645" s="23"/>
      <c r="AX645" s="23" t="str">
        <f>TEXT(TRUNC(Q645+X645,0),"#,##0")</f>
        <v>1,449</v>
      </c>
      <c r="AY645" s="34"/>
      <c r="AZ645" s="23"/>
      <c r="BA645" s="23"/>
      <c r="BB645" s="23"/>
      <c r="BC645" s="23"/>
      <c r="BD645" s="23"/>
      <c r="BE645" s="23"/>
      <c r="BF645" s="23"/>
      <c r="BG645" s="23"/>
      <c r="BH645" s="23"/>
      <c r="BI645" s="23"/>
      <c r="BJ645" s="23"/>
      <c r="BK645" s="23"/>
      <c r="BL645" s="23"/>
      <c r="BM645" s="23"/>
      <c r="BN645" s="23"/>
      <c r="BO645" s="23"/>
      <c r="BP645" s="23"/>
      <c r="BQ645" s="23"/>
      <c r="BR645" s="23"/>
      <c r="BS645" s="23"/>
      <c r="BT645" s="23"/>
      <c r="BU645" s="23"/>
      <c r="BV645" s="23"/>
      <c r="BW645" s="23"/>
      <c r="BX645" s="23"/>
      <c r="BY645" s="23"/>
      <c r="BZ645" s="23"/>
      <c r="CA645" s="23"/>
      <c r="CB645" s="23"/>
      <c r="CC645" s="23"/>
      <c r="CD645" s="23"/>
      <c r="CE645" s="23"/>
      <c r="CF645" s="23"/>
      <c r="CG645" s="23"/>
      <c r="CH645" s="27"/>
      <c r="CI645" s="64"/>
      <c r="CJ645" s="27"/>
      <c r="CK645" s="28"/>
      <c r="CL645" s="39"/>
    </row>
    <row r="646" spans="1:90" ht="14.25" customHeight="1" x14ac:dyDescent="0.25">
      <c r="A646" s="20"/>
      <c r="B646" s="31"/>
      <c r="C646" s="30"/>
      <c r="D646" s="23"/>
      <c r="E646" s="23"/>
      <c r="F646" s="23"/>
      <c r="G646" s="23"/>
      <c r="H646" s="23" t="s">
        <v>126</v>
      </c>
      <c r="I646" s="23"/>
      <c r="J646" s="23"/>
      <c r="K646" s="23"/>
      <c r="L646" s="23" t="s">
        <v>127</v>
      </c>
      <c r="M646" s="23"/>
      <c r="N646" s="23"/>
      <c r="O646" s="23" t="s">
        <v>121</v>
      </c>
      <c r="P646" s="23"/>
      <c r="Q646" s="23" t="str">
        <f>TEXT(AX643+AX644+AX645,"#,##0")</f>
        <v>1,521,334</v>
      </c>
      <c r="R646" s="29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  <c r="AY646" s="23"/>
      <c r="AZ646" s="23"/>
      <c r="BA646" s="23"/>
      <c r="BB646" s="23"/>
      <c r="BC646" s="23"/>
      <c r="BD646" s="23"/>
      <c r="BE646" s="23"/>
      <c r="BF646" s="23"/>
      <c r="BG646" s="23"/>
      <c r="BH646" s="23"/>
      <c r="BI646" s="23"/>
      <c r="BJ646" s="23"/>
      <c r="BK646" s="23"/>
      <c r="BL646" s="23"/>
      <c r="BM646" s="23"/>
      <c r="BN646" s="23"/>
      <c r="BO646" s="23"/>
      <c r="BP646" s="23"/>
      <c r="BQ646" s="23"/>
      <c r="BR646" s="23"/>
      <c r="BS646" s="23"/>
      <c r="BT646" s="23"/>
      <c r="BU646" s="23"/>
      <c r="BV646" s="23"/>
      <c r="BW646" s="23"/>
      <c r="BX646" s="23"/>
      <c r="BY646" s="23"/>
      <c r="BZ646" s="23"/>
      <c r="CA646" s="23"/>
      <c r="CB646" s="23"/>
      <c r="CC646" s="23"/>
      <c r="CD646" s="23"/>
      <c r="CE646" s="23"/>
      <c r="CF646" s="23"/>
      <c r="CG646" s="23"/>
      <c r="CH646" s="64">
        <f>CI646+CJ646+CK646</f>
        <v>1521334</v>
      </c>
      <c r="CI646" s="64" t="str">
        <f>AX643</f>
        <v>1,247,965</v>
      </c>
      <c r="CJ646" s="27" t="str">
        <f>AX644</f>
        <v>271,920</v>
      </c>
      <c r="CK646" s="28" t="str">
        <f>AX645</f>
        <v>1,449</v>
      </c>
      <c r="CL646" s="39"/>
    </row>
    <row r="647" spans="1:90" ht="14.25" customHeight="1" x14ac:dyDescent="0.2">
      <c r="A647" s="20"/>
      <c r="B647" s="31"/>
      <c r="C647" s="30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  <c r="AZ647" s="23"/>
      <c r="BA647" s="23"/>
      <c r="BB647" s="23"/>
      <c r="BC647" s="23"/>
      <c r="BD647" s="23"/>
      <c r="BE647" s="23"/>
      <c r="BF647" s="23"/>
      <c r="BG647" s="23"/>
      <c r="BH647" s="23"/>
      <c r="BI647" s="23"/>
      <c r="BJ647" s="23"/>
      <c r="BK647" s="23"/>
      <c r="BL647" s="23"/>
      <c r="BM647" s="23"/>
      <c r="BN647" s="23"/>
      <c r="BO647" s="23"/>
      <c r="BP647" s="23"/>
      <c r="BQ647" s="23"/>
      <c r="BR647" s="23"/>
      <c r="BS647" s="23"/>
      <c r="BT647" s="23"/>
      <c r="BU647" s="23"/>
      <c r="BV647" s="23"/>
      <c r="BW647" s="23"/>
      <c r="BX647" s="23"/>
      <c r="BY647" s="23"/>
      <c r="BZ647" s="23"/>
      <c r="CA647" s="23"/>
      <c r="CB647" s="23"/>
      <c r="CC647" s="23"/>
      <c r="CD647" s="23"/>
      <c r="CE647" s="23"/>
      <c r="CF647" s="23"/>
      <c r="CG647" s="23"/>
      <c r="CH647" s="27"/>
      <c r="CI647" s="27"/>
      <c r="CJ647" s="28"/>
      <c r="CK647" s="28"/>
      <c r="CL647" s="39"/>
    </row>
    <row r="648" spans="1:90" ht="14.25" customHeight="1" x14ac:dyDescent="0.2">
      <c r="A648" s="20"/>
      <c r="B648" s="46" t="s">
        <v>367</v>
      </c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  <c r="AA648" s="47"/>
      <c r="AB648" s="47"/>
      <c r="AC648" s="47"/>
      <c r="AD648" s="47"/>
      <c r="AE648" s="47"/>
      <c r="AF648" s="47"/>
      <c r="AG648" s="47"/>
      <c r="AH648" s="47"/>
      <c r="AI648" s="47"/>
      <c r="AJ648" s="47"/>
      <c r="AK648" s="47"/>
      <c r="AL648" s="47"/>
      <c r="AM648" s="47"/>
      <c r="AN648" s="47"/>
      <c r="AO648" s="47"/>
      <c r="AP648" s="47"/>
      <c r="AQ648" s="47"/>
      <c r="AR648" s="47"/>
      <c r="AS648" s="47"/>
      <c r="AT648" s="47"/>
      <c r="AU648" s="47"/>
      <c r="AV648" s="47"/>
      <c r="AW648" s="47"/>
      <c r="AX648" s="47"/>
      <c r="AY648" s="47"/>
      <c r="AZ648" s="47"/>
      <c r="BA648" s="47"/>
      <c r="BB648" s="47"/>
      <c r="BC648" s="47"/>
      <c r="BD648" s="47"/>
      <c r="BE648" s="47"/>
      <c r="BF648" s="47"/>
      <c r="BG648" s="47"/>
      <c r="BH648" s="47"/>
      <c r="BI648" s="47"/>
      <c r="BJ648" s="47"/>
      <c r="BK648" s="47"/>
      <c r="BL648" s="47"/>
      <c r="BM648" s="47"/>
      <c r="BN648" s="47"/>
      <c r="BO648" s="47"/>
      <c r="BP648" s="47"/>
      <c r="BQ648" s="47"/>
      <c r="BR648" s="47"/>
      <c r="BS648" s="47"/>
      <c r="BT648" s="47"/>
      <c r="BU648" s="47"/>
      <c r="BV648" s="47"/>
      <c r="BW648" s="47"/>
      <c r="BX648" s="47"/>
      <c r="BY648" s="47"/>
      <c r="BZ648" s="47"/>
      <c r="CA648" s="47"/>
      <c r="CB648" s="47"/>
      <c r="CC648" s="47"/>
      <c r="CD648" s="47"/>
      <c r="CE648" s="47"/>
      <c r="CF648" s="47"/>
      <c r="CG648" s="47"/>
      <c r="CH648" s="65">
        <f>TRUNC(CI648+CJ648+CK648,0)</f>
        <v>2891971</v>
      </c>
      <c r="CI648" s="65">
        <f>TRUNC(CI655+CI656+CI657+CI658+CI659,0)</f>
        <v>2618602</v>
      </c>
      <c r="CJ648" s="66">
        <f>TRUNC(CJ650+CJ651+CJ652,0)</f>
        <v>271920</v>
      </c>
      <c r="CK648" s="66">
        <f>TRUNC(CK665+CK667,0)</f>
        <v>1449</v>
      </c>
      <c r="CL648" s="97">
        <v>841</v>
      </c>
    </row>
    <row r="649" spans="1:90" ht="14.25" customHeight="1" x14ac:dyDescent="0.25">
      <c r="A649" s="20"/>
      <c r="B649" s="31"/>
      <c r="C649" s="29"/>
      <c r="D649" s="23" t="s">
        <v>94</v>
      </c>
      <c r="E649" s="23"/>
      <c r="F649" s="23"/>
      <c r="G649" s="23" t="s">
        <v>123</v>
      </c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  <c r="AY649" s="23"/>
      <c r="AZ649" s="23"/>
      <c r="BA649" s="23"/>
      <c r="BB649" s="23"/>
      <c r="BC649" s="23"/>
      <c r="BD649" s="23"/>
      <c r="BE649" s="23"/>
      <c r="BF649" s="23"/>
      <c r="BG649" s="23"/>
      <c r="BH649" s="23"/>
      <c r="BI649" s="23"/>
      <c r="BJ649" s="23"/>
      <c r="BK649" s="23"/>
      <c r="BL649" s="23"/>
      <c r="BM649" s="23"/>
      <c r="BN649" s="23"/>
      <c r="BO649" s="23"/>
      <c r="BP649" s="23"/>
      <c r="BQ649" s="23"/>
      <c r="BR649" s="23"/>
      <c r="BS649" s="23"/>
      <c r="BT649" s="23"/>
      <c r="BU649" s="23"/>
      <c r="BV649" s="23"/>
      <c r="BW649" s="23"/>
      <c r="BX649" s="23"/>
      <c r="BY649" s="23"/>
      <c r="BZ649" s="23"/>
      <c r="CA649" s="23"/>
      <c r="CB649" s="23"/>
      <c r="CC649" s="23"/>
      <c r="CD649" s="23"/>
      <c r="CE649" s="23"/>
      <c r="CF649" s="23"/>
      <c r="CG649" s="23"/>
      <c r="CH649" s="27"/>
      <c r="CI649" s="27"/>
      <c r="CJ649" s="27"/>
      <c r="CK649" s="28"/>
      <c r="CL649" s="39" t="s">
        <v>351</v>
      </c>
    </row>
    <row r="650" spans="1:90" ht="14.25" customHeight="1" x14ac:dyDescent="0.25">
      <c r="A650" s="20"/>
      <c r="B650" s="31"/>
      <c r="C650" s="30"/>
      <c r="D650" s="23"/>
      <c r="E650" s="23"/>
      <c r="F650" s="23"/>
      <c r="G650" s="23" t="s">
        <v>352</v>
      </c>
      <c r="H650" s="23"/>
      <c r="I650" s="23"/>
      <c r="J650" s="23"/>
      <c r="K650" s="23"/>
      <c r="L650" s="23"/>
      <c r="M650" s="29"/>
      <c r="N650" s="23" t="s">
        <v>121</v>
      </c>
      <c r="O650" s="29"/>
      <c r="P650" s="29"/>
      <c r="Q650" s="23" t="str">
        <f>TEXT([1]자재단가!$M$107,"#,##0.#######")</f>
        <v>2,760.</v>
      </c>
      <c r="R650" s="23"/>
      <c r="S650" s="23"/>
      <c r="T650" s="23"/>
      <c r="U650" s="23"/>
      <c r="V650" s="23"/>
      <c r="W650" s="23" t="s">
        <v>102</v>
      </c>
      <c r="X650" s="23"/>
      <c r="Y650" s="23"/>
      <c r="Z650" s="23" t="str">
        <f>TEXT(2.77,"#,##0.#######")</f>
        <v>2.77</v>
      </c>
      <c r="AA650" s="23"/>
      <c r="AB650" s="23"/>
      <c r="AC650" s="29"/>
      <c r="AD650" s="29"/>
      <c r="AE650" s="38" t="s">
        <v>270</v>
      </c>
      <c r="AF650" s="23"/>
      <c r="AG650" s="23"/>
      <c r="AH650" s="23" t="s">
        <v>103</v>
      </c>
      <c r="AI650" s="23"/>
      <c r="AJ650" s="23" t="str">
        <f>TEXT(TRUNC(Q650*Z650,1),"#,##0.#")</f>
        <v>7,645.2</v>
      </c>
      <c r="AK650" s="23"/>
      <c r="AL650" s="29"/>
      <c r="AM650" s="29"/>
      <c r="AN650" s="29"/>
      <c r="AO650" s="29"/>
      <c r="AP650" s="29"/>
      <c r="AQ650" s="29"/>
      <c r="AR650" s="29"/>
      <c r="AS650" s="29"/>
      <c r="AT650" s="29"/>
      <c r="AU650" s="29"/>
      <c r="AV650" s="29"/>
      <c r="AW650" s="29"/>
      <c r="AX650" s="29"/>
      <c r="AY650" s="29"/>
      <c r="AZ650" s="29"/>
      <c r="BA650" s="29"/>
      <c r="BB650" s="29"/>
      <c r="BC650" s="29"/>
      <c r="BD650" s="29"/>
      <c r="BE650" s="29"/>
      <c r="BF650" s="29"/>
      <c r="BG650" s="29"/>
      <c r="BH650" s="29"/>
      <c r="BI650" s="29"/>
      <c r="BJ650" s="29"/>
      <c r="BK650" s="29"/>
      <c r="BL650" s="29"/>
      <c r="BM650" s="29"/>
      <c r="BN650" s="23"/>
      <c r="BO650" s="23"/>
      <c r="BP650" s="23"/>
      <c r="BQ650" s="23"/>
      <c r="BR650" s="29"/>
      <c r="BS650" s="29"/>
      <c r="BT650" s="29"/>
      <c r="BU650" s="29"/>
      <c r="BV650" s="23"/>
      <c r="BW650" s="23"/>
      <c r="BX650" s="23"/>
      <c r="BY650" s="23"/>
      <c r="BZ650" s="23"/>
      <c r="CA650" s="23"/>
      <c r="CB650" s="23"/>
      <c r="CC650" s="23"/>
      <c r="CD650" s="23"/>
      <c r="CE650" s="23"/>
      <c r="CF650" s="23"/>
      <c r="CG650" s="23"/>
      <c r="CH650" s="27"/>
      <c r="CI650" s="27"/>
      <c r="CJ650" s="27" t="str">
        <f>AJ650</f>
        <v>7,645.2</v>
      </c>
      <c r="CK650" s="28"/>
      <c r="CL650" s="39"/>
    </row>
    <row r="651" spans="1:90" ht="14.25" customHeight="1" x14ac:dyDescent="0.25">
      <c r="A651" s="20"/>
      <c r="B651" s="31"/>
      <c r="C651" s="30"/>
      <c r="D651" s="23"/>
      <c r="E651" s="23"/>
      <c r="F651" s="23"/>
      <c r="G651" s="23" t="s">
        <v>353</v>
      </c>
      <c r="H651" s="23"/>
      <c r="I651" s="23"/>
      <c r="J651" s="23"/>
      <c r="K651" s="23"/>
      <c r="L651" s="23"/>
      <c r="M651" s="29"/>
      <c r="N651" s="23" t="s">
        <v>121</v>
      </c>
      <c r="O651" s="29"/>
      <c r="P651" s="29"/>
      <c r="Q651" s="23" t="str">
        <f>TEXT([1]자재단가!$M$108,"#,##0.#######")</f>
        <v>275.</v>
      </c>
      <c r="R651" s="23"/>
      <c r="S651" s="23"/>
      <c r="T651" s="23"/>
      <c r="U651" s="23"/>
      <c r="V651" s="23"/>
      <c r="W651" s="23" t="s">
        <v>102</v>
      </c>
      <c r="X651" s="23"/>
      <c r="Y651" s="23"/>
      <c r="Z651" s="23" t="str">
        <f>TEXT(945,"#,##0.#######")</f>
        <v>945.</v>
      </c>
      <c r="AA651" s="23"/>
      <c r="AB651" s="23"/>
      <c r="AC651" s="29"/>
      <c r="AD651" s="29"/>
      <c r="AE651" s="38" t="s">
        <v>354</v>
      </c>
      <c r="AF651" s="23"/>
      <c r="AG651" s="23"/>
      <c r="AH651" s="23" t="s">
        <v>103</v>
      </c>
      <c r="AI651" s="23"/>
      <c r="AJ651" s="23" t="str">
        <f>TEXT(TRUNC(Q651*Z651,1),"#,##0.#")</f>
        <v>259,875.</v>
      </c>
      <c r="AK651" s="23"/>
      <c r="AL651" s="29"/>
      <c r="AM651" s="29"/>
      <c r="AN651" s="29"/>
      <c r="AO651" s="29"/>
      <c r="AP651" s="29"/>
      <c r="AQ651" s="29"/>
      <c r="AR651" s="29"/>
      <c r="AS651" s="29"/>
      <c r="AT651" s="29"/>
      <c r="AU651" s="29"/>
      <c r="AV651" s="29"/>
      <c r="AW651" s="29"/>
      <c r="AX651" s="29"/>
      <c r="AY651" s="29"/>
      <c r="AZ651" s="29"/>
      <c r="BA651" s="29"/>
      <c r="BB651" s="29"/>
      <c r="BC651" s="29"/>
      <c r="BD651" s="29"/>
      <c r="BE651" s="29"/>
      <c r="BF651" s="29"/>
      <c r="BG651" s="29"/>
      <c r="BH651" s="29"/>
      <c r="BI651" s="29"/>
      <c r="BJ651" s="29"/>
      <c r="BK651" s="29"/>
      <c r="BL651" s="29"/>
      <c r="BM651" s="29"/>
      <c r="BN651" s="23"/>
      <c r="BO651" s="23"/>
      <c r="BP651" s="23"/>
      <c r="BQ651" s="23"/>
      <c r="BR651" s="29"/>
      <c r="BS651" s="29"/>
      <c r="BT651" s="29"/>
      <c r="BU651" s="29"/>
      <c r="BV651" s="23"/>
      <c r="BW651" s="23"/>
      <c r="BX651" s="23"/>
      <c r="BY651" s="23"/>
      <c r="BZ651" s="23"/>
      <c r="CA651" s="23"/>
      <c r="CB651" s="23"/>
      <c r="CC651" s="23"/>
      <c r="CD651" s="23"/>
      <c r="CE651" s="23"/>
      <c r="CF651" s="23"/>
      <c r="CG651" s="23"/>
      <c r="CH651" s="27"/>
      <c r="CI651" s="27"/>
      <c r="CJ651" s="27" t="str">
        <f>AJ651</f>
        <v>259,875.</v>
      </c>
      <c r="CK651" s="28"/>
      <c r="CL651" s="39"/>
    </row>
    <row r="652" spans="1:90" ht="14.25" customHeight="1" x14ac:dyDescent="0.25">
      <c r="A652" s="20"/>
      <c r="B652" s="31"/>
      <c r="C652" s="30"/>
      <c r="D652" s="23"/>
      <c r="E652" s="23"/>
      <c r="F652" s="23"/>
      <c r="G652" s="23" t="s">
        <v>355</v>
      </c>
      <c r="H652" s="23"/>
      <c r="I652" s="23"/>
      <c r="J652" s="23"/>
      <c r="K652" s="23"/>
      <c r="L652" s="23"/>
      <c r="M652" s="29"/>
      <c r="N652" s="23" t="s">
        <v>121</v>
      </c>
      <c r="O652" s="29"/>
      <c r="P652" s="29"/>
      <c r="Q652" s="23" t="str">
        <f>TEXT([1]자재단가!$M$109,"#,##0.#######")</f>
        <v>11,000.</v>
      </c>
      <c r="R652" s="23"/>
      <c r="S652" s="23"/>
      <c r="T652" s="23"/>
      <c r="U652" s="23"/>
      <c r="V652" s="23"/>
      <c r="W652" s="23" t="s">
        <v>102</v>
      </c>
      <c r="X652" s="23"/>
      <c r="Y652" s="23"/>
      <c r="Z652" s="23" t="str">
        <f>TEXT(0.4,"#,##0.#######")</f>
        <v>0.4</v>
      </c>
      <c r="AA652" s="23"/>
      <c r="AB652" s="23"/>
      <c r="AC652" s="29"/>
      <c r="AD652" s="29"/>
      <c r="AE652" s="38" t="s">
        <v>270</v>
      </c>
      <c r="AF652" s="23"/>
      <c r="AG652" s="23"/>
      <c r="AH652" s="23" t="s">
        <v>103</v>
      </c>
      <c r="AI652" s="23"/>
      <c r="AJ652" s="23" t="str">
        <f>TEXT(TRUNC(Q652*Z652,1),"#,##0.#")</f>
        <v>4,400.</v>
      </c>
      <c r="AK652" s="23"/>
      <c r="AL652" s="29"/>
      <c r="AM652" s="29"/>
      <c r="AN652" s="29"/>
      <c r="AO652" s="29"/>
      <c r="AP652" s="29"/>
      <c r="AQ652" s="29"/>
      <c r="AR652" s="29"/>
      <c r="AS652" s="29"/>
      <c r="AT652" s="29"/>
      <c r="AU652" s="29"/>
      <c r="AV652" s="29"/>
      <c r="AW652" s="29"/>
      <c r="AX652" s="29"/>
      <c r="AY652" s="29"/>
      <c r="AZ652" s="29"/>
      <c r="BA652" s="29"/>
      <c r="BB652" s="29"/>
      <c r="BC652" s="29"/>
      <c r="BD652" s="29"/>
      <c r="BE652" s="29"/>
      <c r="BF652" s="29"/>
      <c r="BG652" s="29"/>
      <c r="BH652" s="29"/>
      <c r="BI652" s="29"/>
      <c r="BJ652" s="29"/>
      <c r="BK652" s="29"/>
      <c r="BL652" s="29"/>
      <c r="BM652" s="29"/>
      <c r="BN652" s="23"/>
      <c r="BO652" s="23"/>
      <c r="BP652" s="23"/>
      <c r="BQ652" s="23"/>
      <c r="BR652" s="29"/>
      <c r="BS652" s="29"/>
      <c r="BT652" s="29"/>
      <c r="BU652" s="29"/>
      <c r="BV652" s="23"/>
      <c r="BW652" s="23"/>
      <c r="BX652" s="23"/>
      <c r="BY652" s="23"/>
      <c r="BZ652" s="23"/>
      <c r="CA652" s="23"/>
      <c r="CB652" s="23"/>
      <c r="CC652" s="23"/>
      <c r="CD652" s="23"/>
      <c r="CE652" s="23"/>
      <c r="CF652" s="23"/>
      <c r="CG652" s="23"/>
      <c r="CH652" s="27"/>
      <c r="CI652" s="27"/>
      <c r="CJ652" s="27" t="str">
        <f>AJ652</f>
        <v>4,400.</v>
      </c>
      <c r="CK652" s="28"/>
      <c r="CL652" s="39"/>
    </row>
    <row r="653" spans="1:90" ht="14.25" customHeight="1" x14ac:dyDescent="0.25">
      <c r="A653" s="20"/>
      <c r="B653" s="31"/>
      <c r="C653" s="30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9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9"/>
      <c r="AR653" s="29"/>
      <c r="AS653" s="29"/>
      <c r="AT653" s="23"/>
      <c r="AU653" s="23"/>
      <c r="AV653" s="23"/>
      <c r="AW653" s="23"/>
      <c r="AX653" s="23"/>
      <c r="AY653" s="23"/>
      <c r="AZ653" s="23"/>
      <c r="BA653" s="23"/>
      <c r="BB653" s="29"/>
      <c r="BC653" s="29"/>
      <c r="BD653" s="29"/>
      <c r="BE653" s="29"/>
      <c r="BF653" s="29"/>
      <c r="BG653" s="29"/>
      <c r="BH653" s="29"/>
      <c r="BI653" s="23"/>
      <c r="BJ653" s="23"/>
      <c r="BK653" s="23"/>
      <c r="BL653" s="23"/>
      <c r="BM653" s="23"/>
      <c r="BN653" s="23"/>
      <c r="BO653" s="23"/>
      <c r="BP653" s="23"/>
      <c r="BQ653" s="23"/>
      <c r="BR653" s="29"/>
      <c r="BS653" s="29"/>
      <c r="BT653" s="29"/>
      <c r="BU653" s="29"/>
      <c r="BV653" s="23"/>
      <c r="BW653" s="23"/>
      <c r="BX653" s="23"/>
      <c r="BY653" s="23"/>
      <c r="BZ653" s="23"/>
      <c r="CA653" s="23"/>
      <c r="CB653" s="23"/>
      <c r="CC653" s="23"/>
      <c r="CD653" s="23"/>
      <c r="CE653" s="23"/>
      <c r="CF653" s="23"/>
      <c r="CG653" s="23"/>
      <c r="CH653" s="27"/>
      <c r="CI653" s="27"/>
      <c r="CJ653" s="27"/>
      <c r="CK653" s="28"/>
      <c r="CL653" s="39"/>
    </row>
    <row r="654" spans="1:90" ht="14.25" customHeight="1" x14ac:dyDescent="0.2">
      <c r="A654" s="20"/>
      <c r="B654" s="31"/>
      <c r="C654" s="30"/>
      <c r="D654" s="23" t="s">
        <v>168</v>
      </c>
      <c r="E654" s="23"/>
      <c r="F654" s="23"/>
      <c r="G654" s="23" t="s">
        <v>161</v>
      </c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  <c r="AY654" s="23"/>
      <c r="AZ654" s="23"/>
      <c r="BA654" s="23"/>
      <c r="BB654" s="23"/>
      <c r="BC654" s="23"/>
      <c r="BD654" s="23"/>
      <c r="BE654" s="23"/>
      <c r="BF654" s="23"/>
      <c r="BG654" s="23"/>
      <c r="BH654" s="23"/>
      <c r="BI654" s="23"/>
      <c r="BJ654" s="23"/>
      <c r="BK654" s="23"/>
      <c r="BL654" s="23"/>
      <c r="BM654" s="23"/>
      <c r="BN654" s="23"/>
      <c r="BO654" s="23"/>
      <c r="BP654" s="23"/>
      <c r="BQ654" s="23"/>
      <c r="BR654" s="23"/>
      <c r="BS654" s="23"/>
      <c r="BT654" s="23"/>
      <c r="BU654" s="23"/>
      <c r="BV654" s="23"/>
      <c r="BW654" s="23"/>
      <c r="BX654" s="23"/>
      <c r="BY654" s="23"/>
      <c r="BZ654" s="23"/>
      <c r="CA654" s="23"/>
      <c r="CB654" s="23"/>
      <c r="CC654" s="23"/>
      <c r="CD654" s="23"/>
      <c r="CE654" s="23"/>
      <c r="CF654" s="23"/>
      <c r="CG654" s="23"/>
      <c r="CH654" s="27"/>
      <c r="CI654" s="27"/>
      <c r="CJ654" s="27"/>
      <c r="CK654" s="28"/>
      <c r="CL654" s="39"/>
    </row>
    <row r="655" spans="1:90" ht="14.25" customHeight="1" x14ac:dyDescent="0.25">
      <c r="A655" s="20"/>
      <c r="B655" s="31"/>
      <c r="C655" s="30"/>
      <c r="D655" s="23"/>
      <c r="E655" s="23"/>
      <c r="F655" s="23"/>
      <c r="G655" s="23" t="s">
        <v>368</v>
      </c>
      <c r="H655" s="23"/>
      <c r="I655" s="23"/>
      <c r="J655" s="23"/>
      <c r="K655" s="23"/>
      <c r="L655" s="23"/>
      <c r="M655" s="23"/>
      <c r="N655" s="23" t="s">
        <v>121</v>
      </c>
      <c r="O655" s="23"/>
      <c r="P655" s="23" t="str">
        <f>TEXT([1]노임및중기단가!$I$5,"#,##0")</f>
        <v>192,968</v>
      </c>
      <c r="Q655" s="23"/>
      <c r="R655" s="23"/>
      <c r="S655" s="23"/>
      <c r="T655" s="23"/>
      <c r="U655" s="23"/>
      <c r="V655" s="23"/>
      <c r="W655" s="23" t="s">
        <v>102</v>
      </c>
      <c r="X655" s="23"/>
      <c r="Y655" s="23"/>
      <c r="Z655" s="23" t="str">
        <f>TEXT(5.85,"#,##0.#######")</f>
        <v>5.85</v>
      </c>
      <c r="AA655" s="23"/>
      <c r="AB655" s="23"/>
      <c r="AC655" s="23"/>
      <c r="AD655" s="23" t="s">
        <v>243</v>
      </c>
      <c r="AE655" s="23"/>
      <c r="AF655" s="23"/>
      <c r="AG655" s="23" t="s">
        <v>103</v>
      </c>
      <c r="AH655" s="23"/>
      <c r="AI655" s="23" t="str">
        <f>TEXT(TRUNC(P655*Z655,1),"#,##0.#")</f>
        <v>1,128,862.8</v>
      </c>
      <c r="AJ655" s="23"/>
      <c r="AK655" s="23"/>
      <c r="AL655" s="29"/>
      <c r="AM655" s="29"/>
      <c r="AN655" s="29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  <c r="AZ655" s="23"/>
      <c r="BA655" s="23"/>
      <c r="BB655" s="23"/>
      <c r="BC655" s="23"/>
      <c r="BD655" s="23"/>
      <c r="BE655" s="23"/>
      <c r="BF655" s="23"/>
      <c r="BG655" s="23"/>
      <c r="BH655" s="23"/>
      <c r="BI655" s="23"/>
      <c r="BJ655" s="23"/>
      <c r="BK655" s="23"/>
      <c r="BL655" s="23"/>
      <c r="BM655" s="23"/>
      <c r="BN655" s="23"/>
      <c r="BO655" s="23"/>
      <c r="BP655" s="23"/>
      <c r="BQ655" s="23"/>
      <c r="BR655" s="23"/>
      <c r="BS655" s="23"/>
      <c r="BT655" s="23"/>
      <c r="BU655" s="23"/>
      <c r="BV655" s="23"/>
      <c r="BW655" s="23"/>
      <c r="BX655" s="23"/>
      <c r="BY655" s="23"/>
      <c r="BZ655" s="23"/>
      <c r="CA655" s="23"/>
      <c r="CB655" s="23"/>
      <c r="CC655" s="23"/>
      <c r="CD655" s="23"/>
      <c r="CE655" s="23"/>
      <c r="CF655" s="23"/>
      <c r="CG655" s="23"/>
      <c r="CH655" s="27"/>
      <c r="CI655" s="64" t="str">
        <f>AI655</f>
        <v>1,128,862.8</v>
      </c>
      <c r="CJ655" s="27"/>
      <c r="CK655" s="28"/>
      <c r="CL655" s="39"/>
    </row>
    <row r="656" spans="1:90" ht="14.25" customHeight="1" x14ac:dyDescent="0.25">
      <c r="A656" s="20"/>
      <c r="B656" s="31"/>
      <c r="C656" s="30"/>
      <c r="D656" s="34"/>
      <c r="E656" s="34"/>
      <c r="F656" s="34"/>
      <c r="G656" s="23" t="s">
        <v>369</v>
      </c>
      <c r="H656" s="23"/>
      <c r="I656" s="23"/>
      <c r="J656" s="23"/>
      <c r="K656" s="23"/>
      <c r="L656" s="23"/>
      <c r="M656" s="23"/>
      <c r="N656" s="23" t="s">
        <v>121</v>
      </c>
      <c r="O656" s="23"/>
      <c r="P656" s="23" t="str">
        <f>TEXT([1]노임및중기단가!$I$21,"#,##0")</f>
        <v>234,297</v>
      </c>
      <c r="Q656" s="23"/>
      <c r="R656" s="23"/>
      <c r="S656" s="23"/>
      <c r="T656" s="23"/>
      <c r="U656" s="23"/>
      <c r="V656" s="23"/>
      <c r="W656" s="23" t="s">
        <v>102</v>
      </c>
      <c r="X656" s="23"/>
      <c r="Y656" s="23"/>
      <c r="Z656" s="23" t="str">
        <f>TEXT(5.85,"#,##0.#######")</f>
        <v>5.85</v>
      </c>
      <c r="AA656" s="23"/>
      <c r="AB656" s="23"/>
      <c r="AC656" s="23"/>
      <c r="AD656" s="23" t="s">
        <v>243</v>
      </c>
      <c r="AE656" s="23"/>
      <c r="AF656" s="23"/>
      <c r="AG656" s="23" t="s">
        <v>103</v>
      </c>
      <c r="AH656" s="23"/>
      <c r="AI656" s="23" t="str">
        <f>TEXT(TRUNC(P656*Z656,1),"#,##0.#")</f>
        <v>1,370,637.4</v>
      </c>
      <c r="AJ656" s="23"/>
      <c r="AK656" s="23"/>
      <c r="AL656" s="29"/>
      <c r="AM656" s="29"/>
      <c r="AN656" s="29"/>
      <c r="AO656" s="23"/>
      <c r="AP656" s="23"/>
      <c r="AQ656" s="23"/>
      <c r="AR656" s="34"/>
      <c r="AS656" s="34"/>
      <c r="AT656" s="34"/>
      <c r="AU656" s="34"/>
      <c r="AV656" s="34"/>
      <c r="AW656" s="34"/>
      <c r="AX656" s="34"/>
      <c r="AY656" s="34"/>
      <c r="AZ656" s="34"/>
      <c r="BA656" s="34"/>
      <c r="BB656" s="34"/>
      <c r="BC656" s="34"/>
      <c r="BD656" s="34"/>
      <c r="BE656" s="34"/>
      <c r="BF656" s="34"/>
      <c r="BG656" s="34"/>
      <c r="BH656" s="34"/>
      <c r="BI656" s="34"/>
      <c r="BJ656" s="34"/>
      <c r="BK656" s="34"/>
      <c r="BL656" s="34"/>
      <c r="BM656" s="34"/>
      <c r="BN656" s="34"/>
      <c r="BO656" s="34"/>
      <c r="BP656" s="34"/>
      <c r="BQ656" s="34"/>
      <c r="BR656" s="34"/>
      <c r="BS656" s="34"/>
      <c r="BT656" s="34"/>
      <c r="BU656" s="34"/>
      <c r="BV656" s="34"/>
      <c r="BW656" s="34"/>
      <c r="BX656" s="34"/>
      <c r="BY656" s="34"/>
      <c r="BZ656" s="34"/>
      <c r="CA656" s="34"/>
      <c r="CB656" s="34"/>
      <c r="CC656" s="34"/>
      <c r="CD656" s="34"/>
      <c r="CE656" s="34"/>
      <c r="CF656" s="34"/>
      <c r="CG656" s="34"/>
      <c r="CH656" s="27"/>
      <c r="CI656" s="64" t="str">
        <f>AI656</f>
        <v>1,370,637.4</v>
      </c>
      <c r="CJ656" s="27"/>
      <c r="CK656" s="28"/>
      <c r="CL656" s="39"/>
    </row>
    <row r="657" spans="1:90" ht="14.25" customHeight="1" x14ac:dyDescent="0.25">
      <c r="A657" s="20"/>
      <c r="B657" s="31"/>
      <c r="C657" s="30"/>
      <c r="D657" s="23"/>
      <c r="E657" s="23"/>
      <c r="F657" s="23"/>
      <c r="G657" s="23" t="s">
        <v>322</v>
      </c>
      <c r="H657" s="23"/>
      <c r="I657" s="23"/>
      <c r="J657" s="23"/>
      <c r="K657" s="23"/>
      <c r="L657" s="23"/>
      <c r="M657" s="23"/>
      <c r="N657" s="23" t="s">
        <v>121</v>
      </c>
      <c r="O657" s="23"/>
      <c r="P657" s="23" t="str">
        <f>TEXT([1]노임및중기단가!$I$8,"#,##0")</f>
        <v>138,290</v>
      </c>
      <c r="Q657" s="23"/>
      <c r="R657" s="23"/>
      <c r="S657" s="23"/>
      <c r="T657" s="23"/>
      <c r="U657" s="23"/>
      <c r="V657" s="23"/>
      <c r="W657" s="23" t="s">
        <v>102</v>
      </c>
      <c r="X657" s="23"/>
      <c r="Y657" s="23"/>
      <c r="Z657" s="23" t="str">
        <f>TEXT(0.1,"#,##0.#######")</f>
        <v>0.1</v>
      </c>
      <c r="AA657" s="23"/>
      <c r="AB657" s="23"/>
      <c r="AC657" s="23"/>
      <c r="AD657" s="23" t="s">
        <v>243</v>
      </c>
      <c r="AE657" s="23"/>
      <c r="AF657" s="23"/>
      <c r="AG657" s="23" t="s">
        <v>103</v>
      </c>
      <c r="AH657" s="23"/>
      <c r="AI657" s="23" t="str">
        <f>TEXT(TRUNC(P657*Z657,1),"#,##0.#")</f>
        <v>13,829.</v>
      </c>
      <c r="AJ657" s="23"/>
      <c r="AK657" s="23"/>
      <c r="AL657" s="29"/>
      <c r="AM657" s="29"/>
      <c r="AN657" s="29"/>
      <c r="AO657" s="29"/>
      <c r="AP657" s="29"/>
      <c r="AQ657" s="29"/>
      <c r="AR657" s="29"/>
      <c r="AS657" s="23"/>
      <c r="AT657" s="23"/>
      <c r="AU657" s="23"/>
      <c r="AV657" s="23"/>
      <c r="AW657" s="23"/>
      <c r="AX657" s="23"/>
      <c r="AY657" s="23"/>
      <c r="AZ657" s="23"/>
      <c r="BA657" s="23"/>
      <c r="BB657" s="23"/>
      <c r="BC657" s="23"/>
      <c r="BD657" s="23"/>
      <c r="BE657" s="23"/>
      <c r="BF657" s="23"/>
      <c r="BG657" s="23"/>
      <c r="BH657" s="23"/>
      <c r="BI657" s="23"/>
      <c r="BJ657" s="23"/>
      <c r="BK657" s="23"/>
      <c r="BL657" s="23"/>
      <c r="BM657" s="23"/>
      <c r="BN657" s="23"/>
      <c r="BO657" s="23"/>
      <c r="BP657" s="23"/>
      <c r="BQ657" s="23"/>
      <c r="BR657" s="23"/>
      <c r="BS657" s="23"/>
      <c r="BT657" s="23"/>
      <c r="BU657" s="23"/>
      <c r="BV657" s="23"/>
      <c r="BW657" s="23"/>
      <c r="BX657" s="23"/>
      <c r="BY657" s="23"/>
      <c r="BZ657" s="23"/>
      <c r="CA657" s="23"/>
      <c r="CB657" s="23"/>
      <c r="CC657" s="23"/>
      <c r="CD657" s="23"/>
      <c r="CE657" s="23"/>
      <c r="CF657" s="23"/>
      <c r="CG657" s="23"/>
      <c r="CH657" s="27"/>
      <c r="CI657" s="64" t="str">
        <f>AI657</f>
        <v>13,829.</v>
      </c>
      <c r="CJ657" s="27"/>
      <c r="CK657" s="28"/>
      <c r="CL657" s="39"/>
    </row>
    <row r="658" spans="1:90" ht="14.25" customHeight="1" x14ac:dyDescent="0.25">
      <c r="A658" s="20"/>
      <c r="B658" s="31"/>
      <c r="C658" s="30"/>
      <c r="D658" s="23"/>
      <c r="E658" s="23"/>
      <c r="F658" s="23"/>
      <c r="G658" s="23" t="s">
        <v>360</v>
      </c>
      <c r="H658" s="23"/>
      <c r="I658" s="23"/>
      <c r="J658" s="23"/>
      <c r="K658" s="23"/>
      <c r="L658" s="23"/>
      <c r="M658" s="23"/>
      <c r="N658" s="23" t="s">
        <v>121</v>
      </c>
      <c r="O658" s="23"/>
      <c r="P658" s="23" t="str">
        <f>TEXT([1]노임및중기단가!$I$19,"#,##0")</f>
        <v>223,094</v>
      </c>
      <c r="Q658" s="23"/>
      <c r="R658" s="23"/>
      <c r="S658" s="23"/>
      <c r="T658" s="23"/>
      <c r="U658" s="23"/>
      <c r="V658" s="23"/>
      <c r="W658" s="23" t="s">
        <v>102</v>
      </c>
      <c r="X658" s="23"/>
      <c r="Y658" s="23"/>
      <c r="Z658" s="23" t="str">
        <f>TEXT(0.39,"#,##0.#######")</f>
        <v>0.39</v>
      </c>
      <c r="AA658" s="23"/>
      <c r="AB658" s="23"/>
      <c r="AC658" s="23"/>
      <c r="AD658" s="23" t="s">
        <v>243</v>
      </c>
      <c r="AE658" s="23"/>
      <c r="AF658" s="23"/>
      <c r="AG658" s="23" t="s">
        <v>103</v>
      </c>
      <c r="AH658" s="23"/>
      <c r="AI658" s="23" t="str">
        <f>TEXT(TRUNC(P658*Z658,1),"#,##0.#")</f>
        <v>87,006.6</v>
      </c>
      <c r="AJ658" s="23"/>
      <c r="AK658" s="23"/>
      <c r="AL658" s="29"/>
      <c r="AM658" s="29"/>
      <c r="AN658" s="29"/>
      <c r="AO658" s="29"/>
      <c r="AP658" s="29"/>
      <c r="AQ658" s="29"/>
      <c r="AR658" s="29"/>
      <c r="AS658" s="23"/>
      <c r="AT658" s="23"/>
      <c r="AU658" s="23"/>
      <c r="AV658" s="23"/>
      <c r="AW658" s="23"/>
      <c r="AX658" s="23"/>
      <c r="AY658" s="23"/>
      <c r="AZ658" s="23"/>
      <c r="BA658" s="23"/>
      <c r="BB658" s="23"/>
      <c r="BC658" s="23"/>
      <c r="BD658" s="23"/>
      <c r="BE658" s="23"/>
      <c r="BF658" s="23"/>
      <c r="BG658" s="23"/>
      <c r="BH658" s="23"/>
      <c r="BI658" s="23"/>
      <c r="BJ658" s="23"/>
      <c r="BK658" s="23"/>
      <c r="BL658" s="23"/>
      <c r="BM658" s="23"/>
      <c r="BN658" s="23"/>
      <c r="BO658" s="23"/>
      <c r="BP658" s="23"/>
      <c r="BQ658" s="23"/>
      <c r="BR658" s="23"/>
      <c r="BS658" s="23"/>
      <c r="BT658" s="23"/>
      <c r="BU658" s="23"/>
      <c r="BV658" s="23"/>
      <c r="BW658" s="23"/>
      <c r="BX658" s="23"/>
      <c r="BY658" s="23"/>
      <c r="BZ658" s="23"/>
      <c r="CA658" s="23"/>
      <c r="CB658" s="23"/>
      <c r="CC658" s="23"/>
      <c r="CD658" s="23"/>
      <c r="CE658" s="23"/>
      <c r="CF658" s="23"/>
      <c r="CG658" s="23"/>
      <c r="CH658" s="27"/>
      <c r="CI658" s="64" t="str">
        <f>AI658</f>
        <v>87,006.6</v>
      </c>
      <c r="CJ658" s="27"/>
      <c r="CK658" s="28"/>
      <c r="CL658" s="39"/>
    </row>
    <row r="659" spans="1:90" ht="14.25" customHeight="1" x14ac:dyDescent="0.25">
      <c r="A659" s="20"/>
      <c r="B659" s="31"/>
      <c r="C659" s="30"/>
      <c r="D659" s="23"/>
      <c r="E659" s="23"/>
      <c r="F659" s="23"/>
      <c r="G659" s="23" t="s">
        <v>361</v>
      </c>
      <c r="H659" s="23"/>
      <c r="I659" s="23"/>
      <c r="J659" s="23"/>
      <c r="K659" s="23"/>
      <c r="L659" s="23"/>
      <c r="M659" s="23"/>
      <c r="N659" s="23" t="s">
        <v>121</v>
      </c>
      <c r="O659" s="23"/>
      <c r="P659" s="23" t="str">
        <f>TEXT([1]노임및중기단가!$I$7,"#,##0")</f>
        <v>166,063</v>
      </c>
      <c r="Q659" s="23"/>
      <c r="R659" s="23"/>
      <c r="S659" s="23"/>
      <c r="T659" s="23"/>
      <c r="U659" s="23"/>
      <c r="V659" s="23"/>
      <c r="W659" s="23" t="s">
        <v>102</v>
      </c>
      <c r="X659" s="23"/>
      <c r="Y659" s="23"/>
      <c r="Z659" s="23" t="str">
        <f>TEXT(0.11,"#,##0.#######")</f>
        <v>0.11</v>
      </c>
      <c r="AA659" s="23"/>
      <c r="AB659" s="23"/>
      <c r="AC659" s="23"/>
      <c r="AD659" s="23" t="s">
        <v>243</v>
      </c>
      <c r="AE659" s="23"/>
      <c r="AF659" s="23"/>
      <c r="AG659" s="23" t="s">
        <v>103</v>
      </c>
      <c r="AH659" s="23"/>
      <c r="AI659" s="23" t="str">
        <f>TEXT(TRUNC(P659*Z659,1),"#,##0.#")</f>
        <v>18,266.9</v>
      </c>
      <c r="AJ659" s="23"/>
      <c r="AK659" s="23"/>
      <c r="AL659" s="29"/>
      <c r="AM659" s="29"/>
      <c r="AN659" s="29"/>
      <c r="AO659" s="29"/>
      <c r="AP659" s="29"/>
      <c r="AQ659" s="29"/>
      <c r="AR659" s="29"/>
      <c r="AS659" s="23"/>
      <c r="AT659" s="23"/>
      <c r="AU659" s="23"/>
      <c r="AV659" s="23"/>
      <c r="AW659" s="23"/>
      <c r="AX659" s="23"/>
      <c r="AY659" s="23"/>
      <c r="AZ659" s="23"/>
      <c r="BA659" s="23"/>
      <c r="BB659" s="23"/>
      <c r="BC659" s="23"/>
      <c r="BD659" s="23"/>
      <c r="BE659" s="23"/>
      <c r="BF659" s="23"/>
      <c r="BG659" s="23"/>
      <c r="BH659" s="23"/>
      <c r="BI659" s="23"/>
      <c r="BJ659" s="23"/>
      <c r="BK659" s="23"/>
      <c r="BL659" s="23"/>
      <c r="BM659" s="23"/>
      <c r="BN659" s="23"/>
      <c r="BO659" s="23"/>
      <c r="BP659" s="23"/>
      <c r="BQ659" s="23"/>
      <c r="BR659" s="23"/>
      <c r="BS659" s="23"/>
      <c r="BT659" s="23"/>
      <c r="BU659" s="23"/>
      <c r="BV659" s="23"/>
      <c r="BW659" s="23"/>
      <c r="BX659" s="23"/>
      <c r="BY659" s="23"/>
      <c r="BZ659" s="23"/>
      <c r="CA659" s="23"/>
      <c r="CB659" s="23"/>
      <c r="CC659" s="23"/>
      <c r="CD659" s="23"/>
      <c r="CE659" s="23"/>
      <c r="CF659" s="23"/>
      <c r="CG659" s="23"/>
      <c r="CH659" s="27"/>
      <c r="CI659" s="64" t="str">
        <f>AI659</f>
        <v>18,266.9</v>
      </c>
      <c r="CJ659" s="27"/>
      <c r="CK659" s="28"/>
      <c r="CL659" s="39"/>
    </row>
    <row r="660" spans="1:90" ht="14.25" customHeight="1" x14ac:dyDescent="0.25">
      <c r="A660" s="20"/>
      <c r="B660" s="31"/>
      <c r="C660" s="30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9"/>
      <c r="AP660" s="29"/>
      <c r="AQ660" s="29"/>
      <c r="AR660" s="29"/>
      <c r="AS660" s="23"/>
      <c r="AT660" s="23"/>
      <c r="AU660" s="23"/>
      <c r="AV660" s="23"/>
      <c r="AW660" s="23"/>
      <c r="AX660" s="23"/>
      <c r="AY660" s="23"/>
      <c r="AZ660" s="23"/>
      <c r="BA660" s="23"/>
      <c r="BB660" s="23"/>
      <c r="BC660" s="23"/>
      <c r="BD660" s="23"/>
      <c r="BE660" s="23"/>
      <c r="BF660" s="23"/>
      <c r="BG660" s="23"/>
      <c r="BH660" s="23"/>
      <c r="BI660" s="23"/>
      <c r="BJ660" s="23"/>
      <c r="BK660" s="23"/>
      <c r="BL660" s="23"/>
      <c r="BM660" s="23"/>
      <c r="BN660" s="23"/>
      <c r="BO660" s="23"/>
      <c r="BP660" s="23"/>
      <c r="BQ660" s="23"/>
      <c r="BR660" s="23"/>
      <c r="BS660" s="23"/>
      <c r="BT660" s="23"/>
      <c r="BU660" s="23"/>
      <c r="BV660" s="23"/>
      <c r="BW660" s="23"/>
      <c r="BX660" s="23"/>
      <c r="BY660" s="23"/>
      <c r="BZ660" s="23"/>
      <c r="CA660" s="23"/>
      <c r="CB660" s="23"/>
      <c r="CC660" s="23"/>
      <c r="CD660" s="23"/>
      <c r="CE660" s="23"/>
      <c r="CF660" s="23"/>
      <c r="CG660" s="23"/>
      <c r="CH660" s="27"/>
      <c r="CI660" s="64"/>
      <c r="CJ660" s="27"/>
      <c r="CK660" s="28"/>
      <c r="CL660" s="39"/>
    </row>
    <row r="661" spans="1:90" ht="14.25" customHeight="1" x14ac:dyDescent="0.25">
      <c r="A661" s="20"/>
      <c r="B661" s="31"/>
      <c r="C661" s="30"/>
      <c r="D661" s="23" t="s">
        <v>237</v>
      </c>
      <c r="E661" s="23"/>
      <c r="F661" s="23"/>
      <c r="G661" s="23" t="s">
        <v>362</v>
      </c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9"/>
      <c r="AP661" s="29"/>
      <c r="AQ661" s="29"/>
      <c r="AR661" s="29"/>
      <c r="AS661" s="23"/>
      <c r="AT661" s="23"/>
      <c r="AU661" s="23"/>
      <c r="AV661" s="23"/>
      <c r="AW661" s="23"/>
      <c r="AX661" s="23"/>
      <c r="AY661" s="23"/>
      <c r="AZ661" s="23"/>
      <c r="BA661" s="23"/>
      <c r="BB661" s="23"/>
      <c r="BC661" s="23"/>
      <c r="BD661" s="23"/>
      <c r="BE661" s="23"/>
      <c r="BF661" s="23"/>
      <c r="BG661" s="23"/>
      <c r="BH661" s="23"/>
      <c r="BI661" s="23"/>
      <c r="BJ661" s="23"/>
      <c r="BK661" s="23"/>
      <c r="BL661" s="23"/>
      <c r="BM661" s="23"/>
      <c r="BN661" s="23"/>
      <c r="BO661" s="23"/>
      <c r="BP661" s="23"/>
      <c r="BQ661" s="23"/>
      <c r="BR661" s="23"/>
      <c r="BS661" s="23"/>
      <c r="BT661" s="23"/>
      <c r="BU661" s="23"/>
      <c r="BV661" s="23"/>
      <c r="BW661" s="23"/>
      <c r="BX661" s="23"/>
      <c r="BY661" s="23"/>
      <c r="BZ661" s="23"/>
      <c r="CA661" s="23"/>
      <c r="CB661" s="23"/>
      <c r="CC661" s="23"/>
      <c r="CD661" s="23"/>
      <c r="CE661" s="23"/>
      <c r="CF661" s="23"/>
      <c r="CG661" s="23"/>
      <c r="CH661" s="27"/>
      <c r="CI661" s="64"/>
      <c r="CJ661" s="27"/>
      <c r="CK661" s="28"/>
      <c r="CL661" s="39"/>
    </row>
    <row r="662" spans="1:90" ht="14.25" customHeight="1" x14ac:dyDescent="0.25">
      <c r="A662" s="20"/>
      <c r="B662" s="31"/>
      <c r="C662" s="30"/>
      <c r="D662" s="23"/>
      <c r="E662" s="23"/>
      <c r="F662" s="23"/>
      <c r="G662" s="23" t="s">
        <v>363</v>
      </c>
      <c r="H662" s="23"/>
      <c r="I662" s="23"/>
      <c r="J662" s="23"/>
      <c r="K662" s="23"/>
      <c r="L662" s="23"/>
      <c r="M662" s="23"/>
      <c r="N662" s="23"/>
      <c r="O662" s="23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  <c r="AB662" s="34"/>
      <c r="AC662" s="34"/>
      <c r="AD662" s="34"/>
      <c r="AE662" s="34"/>
      <c r="AF662" s="34"/>
      <c r="AG662" s="34"/>
      <c r="AH662" s="34"/>
      <c r="AI662" s="34"/>
      <c r="AJ662" s="34"/>
      <c r="AK662" s="34"/>
      <c r="AL662" s="34"/>
      <c r="AM662" s="29"/>
      <c r="AN662" s="29"/>
      <c r="AO662" s="29"/>
      <c r="AP662" s="29"/>
      <c r="AQ662" s="29"/>
      <c r="AR662" s="29"/>
      <c r="AS662" s="29"/>
      <c r="AT662" s="29"/>
      <c r="AU662" s="29"/>
      <c r="AV662" s="29"/>
      <c r="AW662" s="29"/>
      <c r="AX662" s="29"/>
      <c r="AY662" s="29"/>
      <c r="AZ662" s="29"/>
      <c r="BA662" s="23"/>
      <c r="BB662" s="23"/>
      <c r="BC662" s="23"/>
      <c r="BD662" s="23"/>
      <c r="BE662" s="23"/>
      <c r="BF662" s="23"/>
      <c r="BG662" s="23"/>
      <c r="BH662" s="23"/>
      <c r="BI662" s="23"/>
      <c r="BJ662" s="23"/>
      <c r="BK662" s="23"/>
      <c r="BL662" s="23"/>
      <c r="BM662" s="23"/>
      <c r="BN662" s="23"/>
      <c r="BO662" s="23"/>
      <c r="BP662" s="23"/>
      <c r="BQ662" s="23"/>
      <c r="BR662" s="23"/>
      <c r="BS662" s="23"/>
      <c r="BT662" s="23"/>
      <c r="BU662" s="23"/>
      <c r="BV662" s="23"/>
      <c r="BW662" s="23"/>
      <c r="BX662" s="23"/>
      <c r="BY662" s="23"/>
      <c r="BZ662" s="23"/>
      <c r="CA662" s="23"/>
      <c r="CB662" s="23"/>
      <c r="CC662" s="23"/>
      <c r="CD662" s="23"/>
      <c r="CE662" s="23"/>
      <c r="CF662" s="23"/>
      <c r="CG662" s="23"/>
      <c r="CH662" s="27"/>
      <c r="CI662" s="64"/>
      <c r="CJ662" s="27"/>
      <c r="CK662" s="28"/>
      <c r="CL662" s="39"/>
    </row>
    <row r="663" spans="1:90" ht="14.25" customHeight="1" x14ac:dyDescent="0.25">
      <c r="A663" s="20"/>
      <c r="B663" s="31"/>
      <c r="C663" s="30"/>
      <c r="D663" s="23"/>
      <c r="E663" s="23"/>
      <c r="F663" s="23"/>
      <c r="G663" s="23" t="s">
        <v>120</v>
      </c>
      <c r="H663" s="23"/>
      <c r="I663" s="23"/>
      <c r="J663" s="23"/>
      <c r="K663" s="23"/>
      <c r="L663" s="23"/>
      <c r="M663" s="23"/>
      <c r="N663" s="23" t="s">
        <v>121</v>
      </c>
      <c r="O663" s="23"/>
      <c r="P663" s="23" t="str">
        <f>TEXT(TRUNC(0,0),"#,##0")</f>
        <v>0</v>
      </c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34"/>
      <c r="AC663" s="34"/>
      <c r="AD663" s="34"/>
      <c r="AE663" s="34"/>
      <c r="AF663" s="23"/>
      <c r="AG663" s="23"/>
      <c r="AH663" s="23"/>
      <c r="AI663" s="34"/>
      <c r="AJ663" s="34"/>
      <c r="AK663" s="23"/>
      <c r="AL663" s="29"/>
      <c r="AM663" s="29"/>
      <c r="AN663" s="29"/>
      <c r="AO663" s="29"/>
      <c r="AP663" s="29"/>
      <c r="AQ663" s="29"/>
      <c r="AR663" s="29"/>
      <c r="AS663" s="29"/>
      <c r="AT663" s="29"/>
      <c r="AU663" s="29"/>
      <c r="AV663" s="29"/>
      <c r="AW663" s="29"/>
      <c r="AX663" s="29"/>
      <c r="AY663" s="29"/>
      <c r="AZ663" s="29"/>
      <c r="BA663" s="23"/>
      <c r="BB663" s="23"/>
      <c r="BC663" s="23"/>
      <c r="BD663" s="23"/>
      <c r="BE663" s="23"/>
      <c r="BF663" s="23"/>
      <c r="BG663" s="23"/>
      <c r="BH663" s="23"/>
      <c r="BI663" s="23"/>
      <c r="BJ663" s="23"/>
      <c r="BK663" s="23"/>
      <c r="BL663" s="23"/>
      <c r="BM663" s="23"/>
      <c r="BN663" s="23"/>
      <c r="BO663" s="23"/>
      <c r="BP663" s="23"/>
      <c r="BQ663" s="23"/>
      <c r="BR663" s="23"/>
      <c r="BS663" s="23"/>
      <c r="BT663" s="23"/>
      <c r="BU663" s="23"/>
      <c r="BV663" s="23"/>
      <c r="BW663" s="23"/>
      <c r="BX663" s="23"/>
      <c r="BY663" s="23"/>
      <c r="BZ663" s="23"/>
      <c r="CA663" s="23"/>
      <c r="CB663" s="23"/>
      <c r="CC663" s="23"/>
      <c r="CD663" s="23"/>
      <c r="CE663" s="23"/>
      <c r="CF663" s="23"/>
      <c r="CG663" s="23"/>
      <c r="CH663" s="27"/>
      <c r="CI663" s="64"/>
      <c r="CJ663" s="27"/>
      <c r="CK663" s="28"/>
      <c r="CL663" s="39"/>
    </row>
    <row r="664" spans="1:90" ht="14.25" customHeight="1" x14ac:dyDescent="0.25">
      <c r="A664" s="20"/>
      <c r="B664" s="31"/>
      <c r="C664" s="30"/>
      <c r="D664" s="23"/>
      <c r="E664" s="23"/>
      <c r="F664" s="23"/>
      <c r="G664" s="23" t="s">
        <v>123</v>
      </c>
      <c r="H664" s="23"/>
      <c r="I664" s="23"/>
      <c r="J664" s="23"/>
      <c r="K664" s="23"/>
      <c r="L664" s="23"/>
      <c r="M664" s="23"/>
      <c r="N664" s="23" t="s">
        <v>121</v>
      </c>
      <c r="O664" s="23"/>
      <c r="P664" s="23" t="str">
        <f>TEXT(TRUNC(0,0),"#,##0")</f>
        <v>0</v>
      </c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34"/>
      <c r="AC664" s="34"/>
      <c r="AD664" s="34"/>
      <c r="AE664" s="34"/>
      <c r="AF664" s="23"/>
      <c r="AG664" s="23"/>
      <c r="AH664" s="23"/>
      <c r="AI664" s="34"/>
      <c r="AJ664" s="34"/>
      <c r="AK664" s="23"/>
      <c r="AL664" s="29"/>
      <c r="AM664" s="29"/>
      <c r="AN664" s="29"/>
      <c r="AO664" s="29"/>
      <c r="AP664" s="29"/>
      <c r="AQ664" s="29"/>
      <c r="AR664" s="29"/>
      <c r="AS664" s="29"/>
      <c r="AT664" s="29"/>
      <c r="AU664" s="29"/>
      <c r="AV664" s="29"/>
      <c r="AW664" s="29"/>
      <c r="AX664" s="29"/>
      <c r="AY664" s="29"/>
      <c r="AZ664" s="29"/>
      <c r="BA664" s="23"/>
      <c r="BB664" s="23"/>
      <c r="BC664" s="23"/>
      <c r="BD664" s="23"/>
      <c r="BE664" s="23"/>
      <c r="BF664" s="23"/>
      <c r="BG664" s="23"/>
      <c r="BH664" s="23"/>
      <c r="BI664" s="23"/>
      <c r="BJ664" s="23"/>
      <c r="BK664" s="23"/>
      <c r="BL664" s="23"/>
      <c r="BM664" s="23"/>
      <c r="BN664" s="23"/>
      <c r="BO664" s="23"/>
      <c r="BP664" s="23"/>
      <c r="BQ664" s="23"/>
      <c r="BR664" s="23"/>
      <c r="BS664" s="23"/>
      <c r="BT664" s="23"/>
      <c r="BU664" s="23"/>
      <c r="BV664" s="23"/>
      <c r="BW664" s="23"/>
      <c r="BX664" s="23"/>
      <c r="BY664" s="23"/>
      <c r="BZ664" s="23"/>
      <c r="CA664" s="23"/>
      <c r="CB664" s="23"/>
      <c r="CC664" s="23"/>
      <c r="CD664" s="23"/>
      <c r="CE664" s="23"/>
      <c r="CF664" s="23"/>
      <c r="CG664" s="23"/>
      <c r="CH664" s="27"/>
      <c r="CI664" s="64"/>
      <c r="CJ664" s="27"/>
      <c r="CK664" s="28"/>
      <c r="CL664" s="39"/>
    </row>
    <row r="665" spans="1:90" ht="14.25" customHeight="1" x14ac:dyDescent="0.25">
      <c r="A665" s="20"/>
      <c r="B665" s="31"/>
      <c r="C665" s="30"/>
      <c r="D665" s="23"/>
      <c r="E665" s="23"/>
      <c r="F665" s="23"/>
      <c r="G665" s="23" t="s">
        <v>124</v>
      </c>
      <c r="H665" s="23"/>
      <c r="I665" s="23"/>
      <c r="J665" s="23"/>
      <c r="K665" s="23" t="s">
        <v>125</v>
      </c>
      <c r="L665" s="23"/>
      <c r="M665" s="23"/>
      <c r="N665" s="23" t="s">
        <v>121</v>
      </c>
      <c r="O665" s="23"/>
      <c r="P665" s="23" t="str">
        <f>TEXT([1]기계경비총괄표!$H$58,"#,##0")</f>
        <v>106</v>
      </c>
      <c r="Q665" s="23"/>
      <c r="R665" s="23"/>
      <c r="S665" s="23"/>
      <c r="T665" s="23"/>
      <c r="U665" s="23"/>
      <c r="V665" s="23"/>
      <c r="W665" s="23" t="s">
        <v>102</v>
      </c>
      <c r="X665" s="23"/>
      <c r="Y665" s="23"/>
      <c r="Z665" s="23" t="str">
        <f>TEXT(3.12,"#,##0.#######")</f>
        <v>3.12</v>
      </c>
      <c r="AA665" s="23"/>
      <c r="AB665" s="23"/>
      <c r="AC665" s="23"/>
      <c r="AD665" s="23" t="s">
        <v>364</v>
      </c>
      <c r="AE665" s="23"/>
      <c r="AF665" s="23"/>
      <c r="AG665" s="23" t="s">
        <v>103</v>
      </c>
      <c r="AH665" s="23"/>
      <c r="AI665" s="23" t="str">
        <f>TEXT(TRUNC(P665*Z665,1),"#,##0.#")</f>
        <v>330.7</v>
      </c>
      <c r="AJ665" s="23"/>
      <c r="AK665" s="23"/>
      <c r="AL665" s="29"/>
      <c r="AM665" s="29"/>
      <c r="AN665" s="29"/>
      <c r="AO665" s="29"/>
      <c r="AP665" s="29"/>
      <c r="AQ665" s="29"/>
      <c r="AR665" s="29"/>
      <c r="AS665" s="29"/>
      <c r="AT665" s="29"/>
      <c r="AU665" s="29"/>
      <c r="AV665" s="29"/>
      <c r="AW665" s="29"/>
      <c r="AX665" s="29"/>
      <c r="AY665" s="29"/>
      <c r="AZ665" s="29"/>
      <c r="BA665" s="23"/>
      <c r="BB665" s="23"/>
      <c r="BC665" s="23"/>
      <c r="BD665" s="23"/>
      <c r="BE665" s="23"/>
      <c r="BF665" s="23"/>
      <c r="BG665" s="23"/>
      <c r="BH665" s="23"/>
      <c r="BI665" s="23"/>
      <c r="BJ665" s="23"/>
      <c r="BK665" s="23"/>
      <c r="BL665" s="23"/>
      <c r="BM665" s="23"/>
      <c r="BN665" s="23"/>
      <c r="BO665" s="23"/>
      <c r="BP665" s="23"/>
      <c r="BQ665" s="23"/>
      <c r="BR665" s="23"/>
      <c r="BS665" s="23"/>
      <c r="BT665" s="23"/>
      <c r="BU665" s="23"/>
      <c r="BV665" s="23"/>
      <c r="BW665" s="23"/>
      <c r="BX665" s="23"/>
      <c r="BY665" s="23"/>
      <c r="BZ665" s="23"/>
      <c r="CA665" s="23"/>
      <c r="CB665" s="23"/>
      <c r="CC665" s="23"/>
      <c r="CD665" s="23"/>
      <c r="CE665" s="23"/>
      <c r="CF665" s="23"/>
      <c r="CG665" s="23"/>
      <c r="CH665" s="27"/>
      <c r="CI665" s="64"/>
      <c r="CJ665" s="27"/>
      <c r="CK665" s="28" t="str">
        <f>AI665</f>
        <v>330.7</v>
      </c>
      <c r="CL665" s="39"/>
    </row>
    <row r="666" spans="1:90" ht="14.25" customHeight="1" x14ac:dyDescent="0.25">
      <c r="A666" s="20"/>
      <c r="B666" s="31"/>
      <c r="C666" s="30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9"/>
      <c r="AM666" s="29"/>
      <c r="AN666" s="29"/>
      <c r="AO666" s="29"/>
      <c r="AP666" s="29"/>
      <c r="AQ666" s="29"/>
      <c r="AR666" s="29"/>
      <c r="AS666" s="29"/>
      <c r="AT666" s="29"/>
      <c r="AU666" s="29"/>
      <c r="AV666" s="29"/>
      <c r="AW666" s="29"/>
      <c r="AX666" s="29"/>
      <c r="AY666" s="29"/>
      <c r="AZ666" s="29"/>
      <c r="BA666" s="23"/>
      <c r="BB666" s="23"/>
      <c r="BC666" s="23"/>
      <c r="BD666" s="23"/>
      <c r="BE666" s="23"/>
      <c r="BF666" s="23"/>
      <c r="BG666" s="23"/>
      <c r="BH666" s="23"/>
      <c r="BI666" s="23"/>
      <c r="BJ666" s="23"/>
      <c r="BK666" s="23"/>
      <c r="BL666" s="23"/>
      <c r="BM666" s="23"/>
      <c r="BN666" s="23"/>
      <c r="BO666" s="23"/>
      <c r="BP666" s="23"/>
      <c r="BQ666" s="23"/>
      <c r="BR666" s="23"/>
      <c r="BS666" s="23"/>
      <c r="BT666" s="23"/>
      <c r="BU666" s="23"/>
      <c r="BV666" s="23"/>
      <c r="BW666" s="23"/>
      <c r="BX666" s="23"/>
      <c r="BY666" s="23"/>
      <c r="BZ666" s="23"/>
      <c r="CA666" s="23"/>
      <c r="CB666" s="23"/>
      <c r="CC666" s="23"/>
      <c r="CD666" s="23"/>
      <c r="CE666" s="23"/>
      <c r="CF666" s="23"/>
      <c r="CG666" s="23"/>
      <c r="CH666" s="27"/>
      <c r="CI666" s="64"/>
      <c r="CJ666" s="27"/>
      <c r="CK666" s="28"/>
      <c r="CL666" s="39"/>
    </row>
    <row r="667" spans="1:90" ht="14.25" customHeight="1" x14ac:dyDescent="0.25">
      <c r="A667" s="20"/>
      <c r="B667" s="31"/>
      <c r="C667" s="30"/>
      <c r="D667" s="23"/>
      <c r="E667" s="23"/>
      <c r="F667" s="23"/>
      <c r="G667" s="23" t="s">
        <v>365</v>
      </c>
      <c r="H667" s="23"/>
      <c r="I667" s="23"/>
      <c r="J667" s="23"/>
      <c r="K667" s="23"/>
      <c r="L667" s="23"/>
      <c r="M667" s="23"/>
      <c r="N667" s="23" t="s">
        <v>121</v>
      </c>
      <c r="O667" s="23"/>
      <c r="P667" s="23" t="str">
        <f>TEXT([1]자재단가!$M$110,"#,###.#")</f>
        <v>59.2</v>
      </c>
      <c r="Q667" s="23"/>
      <c r="R667" s="23"/>
      <c r="S667" s="23"/>
      <c r="T667" s="23"/>
      <c r="U667" s="23"/>
      <c r="V667" s="23"/>
      <c r="W667" s="23" t="s">
        <v>102</v>
      </c>
      <c r="X667" s="23"/>
      <c r="Y667" s="23"/>
      <c r="Z667" s="23" t="str">
        <f>TEXT(18.9,"#,##0.#######")</f>
        <v>18.9</v>
      </c>
      <c r="AA667" s="23"/>
      <c r="AB667" s="23"/>
      <c r="AC667" s="23"/>
      <c r="AD667" s="23" t="s">
        <v>366</v>
      </c>
      <c r="AE667" s="23"/>
      <c r="AF667" s="23"/>
      <c r="AG667" s="23" t="s">
        <v>103</v>
      </c>
      <c r="AH667" s="23"/>
      <c r="AI667" s="23" t="str">
        <f>TEXT(TRUNC(P667*Z667,1),"#,##0.#")</f>
        <v>1,118.8</v>
      </c>
      <c r="AJ667" s="23"/>
      <c r="AK667" s="23"/>
      <c r="AL667" s="29"/>
      <c r="AM667" s="29"/>
      <c r="AN667" s="29"/>
      <c r="AO667" s="29"/>
      <c r="AP667" s="29"/>
      <c r="AQ667" s="29"/>
      <c r="AR667" s="29"/>
      <c r="AS667" s="29"/>
      <c r="AT667" s="29"/>
      <c r="AU667" s="29"/>
      <c r="AV667" s="29"/>
      <c r="AW667" s="29"/>
      <c r="AX667" s="29"/>
      <c r="AY667" s="29"/>
      <c r="AZ667" s="29"/>
      <c r="BA667" s="23"/>
      <c r="BB667" s="23"/>
      <c r="BC667" s="23"/>
      <c r="BD667" s="23"/>
      <c r="BE667" s="23"/>
      <c r="BF667" s="23"/>
      <c r="BG667" s="23"/>
      <c r="BH667" s="23"/>
      <c r="BI667" s="23"/>
      <c r="BJ667" s="23"/>
      <c r="BK667" s="23"/>
      <c r="BL667" s="23"/>
      <c r="BM667" s="23"/>
      <c r="BN667" s="23"/>
      <c r="BO667" s="23"/>
      <c r="BP667" s="23"/>
      <c r="BQ667" s="23"/>
      <c r="BR667" s="23"/>
      <c r="BS667" s="23"/>
      <c r="BT667" s="23"/>
      <c r="BU667" s="23"/>
      <c r="BV667" s="23"/>
      <c r="BW667" s="23"/>
      <c r="BX667" s="23"/>
      <c r="BY667" s="23"/>
      <c r="BZ667" s="23"/>
      <c r="CA667" s="23"/>
      <c r="CB667" s="23"/>
      <c r="CC667" s="23"/>
      <c r="CD667" s="23"/>
      <c r="CE667" s="23"/>
      <c r="CF667" s="23"/>
      <c r="CG667" s="23"/>
      <c r="CH667" s="27"/>
      <c r="CI667" s="64"/>
      <c r="CJ667" s="27"/>
      <c r="CK667" s="28" t="str">
        <f>AI667</f>
        <v>1,118.8</v>
      </c>
      <c r="CL667" s="39"/>
    </row>
    <row r="668" spans="1:90" ht="14.25" customHeight="1" x14ac:dyDescent="0.25">
      <c r="A668" s="20"/>
      <c r="B668" s="31"/>
      <c r="C668" s="30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9"/>
      <c r="AJ668" s="29"/>
      <c r="AK668" s="29"/>
      <c r="AL668" s="29"/>
      <c r="AM668" s="29"/>
      <c r="AN668" s="29"/>
      <c r="AO668" s="29"/>
      <c r="AP668" s="29"/>
      <c r="AQ668" s="29"/>
      <c r="AR668" s="29"/>
      <c r="AS668" s="29"/>
      <c r="AT668" s="29"/>
      <c r="AU668" s="29"/>
      <c r="AV668" s="29"/>
      <c r="AW668" s="29"/>
      <c r="AX668" s="29"/>
      <c r="AY668" s="29"/>
      <c r="AZ668" s="29"/>
      <c r="BA668" s="23"/>
      <c r="BB668" s="23"/>
      <c r="BC668" s="23"/>
      <c r="BD668" s="23"/>
      <c r="BE668" s="23"/>
      <c r="BF668" s="23"/>
      <c r="BG668" s="23"/>
      <c r="BH668" s="23"/>
      <c r="BI668" s="23"/>
      <c r="BJ668" s="23"/>
      <c r="BK668" s="23"/>
      <c r="BL668" s="23"/>
      <c r="BM668" s="23"/>
      <c r="BN668" s="23"/>
      <c r="BO668" s="23"/>
      <c r="BP668" s="23"/>
      <c r="BQ668" s="23"/>
      <c r="BR668" s="23"/>
      <c r="BS668" s="23"/>
      <c r="BT668" s="23"/>
      <c r="BU668" s="23"/>
      <c r="BV668" s="23"/>
      <c r="BW668" s="23"/>
      <c r="BX668" s="23"/>
      <c r="BY668" s="23"/>
      <c r="BZ668" s="23"/>
      <c r="CA668" s="23"/>
      <c r="CB668" s="23"/>
      <c r="CC668" s="23"/>
      <c r="CD668" s="23"/>
      <c r="CE668" s="23"/>
      <c r="CF668" s="23"/>
      <c r="CG668" s="23"/>
      <c r="CH668" s="27"/>
      <c r="CI668" s="64"/>
      <c r="CJ668" s="27"/>
      <c r="CK668" s="28"/>
      <c r="CL668" s="39"/>
    </row>
    <row r="669" spans="1:90" ht="14.25" customHeight="1" x14ac:dyDescent="0.2">
      <c r="A669" s="20"/>
      <c r="B669" s="31"/>
      <c r="C669" s="30"/>
      <c r="D669" s="23" t="s">
        <v>85</v>
      </c>
      <c r="E669" s="23"/>
      <c r="F669" s="23"/>
      <c r="G669" s="23" t="s">
        <v>323</v>
      </c>
      <c r="H669" s="23"/>
      <c r="I669" s="23"/>
      <c r="J669" s="23"/>
      <c r="K669" s="23" t="s">
        <v>127</v>
      </c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34"/>
      <c r="Z669" s="34"/>
      <c r="AA669" s="34"/>
      <c r="AB669" s="34"/>
      <c r="AC669" s="34"/>
      <c r="AD669" s="34"/>
      <c r="AE669" s="34"/>
      <c r="AF669" s="34"/>
      <c r="AG669" s="34"/>
      <c r="AH669" s="34"/>
      <c r="AI669" s="34"/>
      <c r="AJ669" s="34"/>
      <c r="AK669" s="34"/>
      <c r="AL669" s="34"/>
      <c r="AM669" s="34"/>
      <c r="AN669" s="34"/>
      <c r="AO669" s="34"/>
      <c r="AP669" s="34"/>
      <c r="AQ669" s="34"/>
      <c r="AR669" s="34"/>
      <c r="AS669" s="34"/>
      <c r="AT669" s="34"/>
      <c r="AU669" s="34"/>
      <c r="AV669" s="34"/>
      <c r="AW669" s="34"/>
      <c r="AX669" s="34"/>
      <c r="AY669" s="34"/>
      <c r="AZ669" s="34"/>
      <c r="BA669" s="34"/>
      <c r="BB669" s="34"/>
      <c r="BC669" s="34"/>
      <c r="BD669" s="34"/>
      <c r="BE669" s="23"/>
      <c r="BF669" s="23"/>
      <c r="BG669" s="23"/>
      <c r="BH669" s="23"/>
      <c r="BI669" s="23"/>
      <c r="BJ669" s="23"/>
      <c r="BK669" s="34"/>
      <c r="BL669" s="34"/>
      <c r="BM669" s="34"/>
      <c r="BN669" s="34"/>
      <c r="BO669" s="34"/>
      <c r="BP669" s="34"/>
      <c r="BQ669" s="34"/>
      <c r="BR669" s="34"/>
      <c r="BS669" s="34"/>
      <c r="BT669" s="23"/>
      <c r="BU669" s="23"/>
      <c r="BV669" s="23"/>
      <c r="BW669" s="23"/>
      <c r="BX669" s="23"/>
      <c r="BY669" s="23"/>
      <c r="BZ669" s="23"/>
      <c r="CA669" s="23"/>
      <c r="CB669" s="23"/>
      <c r="CC669" s="23"/>
      <c r="CD669" s="23"/>
      <c r="CE669" s="23"/>
      <c r="CF669" s="23"/>
      <c r="CG669" s="23"/>
      <c r="CH669" s="27"/>
      <c r="CI669" s="64"/>
      <c r="CJ669" s="27"/>
      <c r="CK669" s="28"/>
      <c r="CL669" s="39"/>
    </row>
    <row r="670" spans="1:90" ht="14.25" customHeight="1" x14ac:dyDescent="0.25">
      <c r="A670" s="20"/>
      <c r="B670" s="31"/>
      <c r="C670" s="30"/>
      <c r="D670" s="34"/>
      <c r="E670" s="23"/>
      <c r="F670" s="23"/>
      <c r="G670" s="23"/>
      <c r="H670" s="23" t="s">
        <v>120</v>
      </c>
      <c r="I670" s="23"/>
      <c r="J670" s="23"/>
      <c r="K670" s="23"/>
      <c r="L670" s="23"/>
      <c r="M670" s="23"/>
      <c r="N670" s="23"/>
      <c r="O670" s="23" t="s">
        <v>121</v>
      </c>
      <c r="P670" s="23"/>
      <c r="Q670" s="23" t="str">
        <f>TEXT(AI655,"#,###.##")</f>
        <v>1,128,862.8</v>
      </c>
      <c r="R670" s="23"/>
      <c r="S670" s="23"/>
      <c r="T670" s="23"/>
      <c r="U670" s="23"/>
      <c r="V670" s="34"/>
      <c r="W670" s="34"/>
      <c r="X670" s="34"/>
      <c r="Y670" s="23" t="s">
        <v>97</v>
      </c>
      <c r="Z670" s="34"/>
      <c r="AA670" s="23" t="str">
        <f>TEXT(AI656,"#,###.##")</f>
        <v>1,370,637.4</v>
      </c>
      <c r="AB670" s="34"/>
      <c r="AC670" s="34"/>
      <c r="AD670" s="34"/>
      <c r="AE670" s="34"/>
      <c r="AF670" s="34"/>
      <c r="AG670" s="34"/>
      <c r="AH670" s="34"/>
      <c r="AI670" s="34"/>
      <c r="AJ670" s="23" t="s">
        <v>97</v>
      </c>
      <c r="AK670" s="23"/>
      <c r="AL670" s="23" t="str">
        <f>TEXT(AI657,"#,###.##")</f>
        <v>13,829.</v>
      </c>
      <c r="AM670" s="34"/>
      <c r="AN670" s="34"/>
      <c r="AO670" s="34"/>
      <c r="AP670" s="34"/>
      <c r="AQ670" s="23" t="s">
        <v>97</v>
      </c>
      <c r="AR670" s="34"/>
      <c r="AS670" s="23" t="str">
        <f>TEXT(AI658,"#,###.##")</f>
        <v>87,006.6</v>
      </c>
      <c r="AT670" s="34"/>
      <c r="AU670" s="34"/>
      <c r="AV670" s="34"/>
      <c r="AW670" s="34"/>
      <c r="AX670" s="34"/>
      <c r="AY670" s="23" t="s">
        <v>97</v>
      </c>
      <c r="AZ670" s="34"/>
      <c r="BA670" s="23" t="str">
        <f>TEXT(AI659,"#,###.##")</f>
        <v>18,266.9</v>
      </c>
      <c r="BB670" s="23"/>
      <c r="BC670" s="23"/>
      <c r="BD670" s="23"/>
      <c r="BE670" s="29"/>
      <c r="BF670" s="23"/>
      <c r="BG670" s="23" t="s">
        <v>103</v>
      </c>
      <c r="BH670" s="23"/>
      <c r="BI670" s="23" t="str">
        <f>TEXT(TRUNC(Q670+AA670+AL670+AS670+BA670,0),"#,##0")</f>
        <v>2,618,602</v>
      </c>
      <c r="BJ670" s="34"/>
      <c r="BK670" s="23"/>
      <c r="BL670" s="23"/>
      <c r="BM670" s="23"/>
      <c r="BN670" s="29"/>
      <c r="BO670" s="23"/>
      <c r="BP670" s="34"/>
      <c r="BQ670" s="34"/>
      <c r="BR670" s="34"/>
      <c r="BS670" s="34"/>
      <c r="BT670" s="29"/>
      <c r="BU670" s="29"/>
      <c r="BV670" s="23"/>
      <c r="BW670" s="23"/>
      <c r="BX670" s="23"/>
      <c r="BY670" s="23"/>
      <c r="BZ670" s="23"/>
      <c r="CA670" s="23"/>
      <c r="CB670" s="23"/>
      <c r="CC670" s="23"/>
      <c r="CD670" s="23"/>
      <c r="CE670" s="23"/>
      <c r="CF670" s="23"/>
      <c r="CG670" s="23"/>
      <c r="CH670" s="27"/>
      <c r="CI670" s="64"/>
      <c r="CJ670" s="27"/>
      <c r="CK670" s="28"/>
      <c r="CL670" s="39"/>
    </row>
    <row r="671" spans="1:90" ht="14.25" customHeight="1" x14ac:dyDescent="0.25">
      <c r="A671" s="20"/>
      <c r="B671" s="31"/>
      <c r="C671" s="30"/>
      <c r="D671" s="23"/>
      <c r="E671" s="23"/>
      <c r="F671" s="23"/>
      <c r="G671" s="23"/>
      <c r="H671" s="23" t="s">
        <v>123</v>
      </c>
      <c r="I671" s="23"/>
      <c r="J671" s="23"/>
      <c r="K671" s="23"/>
      <c r="L671" s="23"/>
      <c r="M671" s="23"/>
      <c r="N671" s="23"/>
      <c r="O671" s="23" t="s">
        <v>121</v>
      </c>
      <c r="P671" s="23"/>
      <c r="Q671" s="23" t="str">
        <f>TEXT(AJ650,"#,###.##")</f>
        <v>7,645.2</v>
      </c>
      <c r="R671" s="23"/>
      <c r="S671" s="23"/>
      <c r="T671" s="23"/>
      <c r="U671" s="23"/>
      <c r="V671" s="23" t="s">
        <v>97</v>
      </c>
      <c r="W671" s="23"/>
      <c r="X671" s="23" t="str">
        <f>TEXT(AJ651,"#,###.##")</f>
        <v>259,875.</v>
      </c>
      <c r="Y671" s="23"/>
      <c r="Z671" s="23"/>
      <c r="AA671" s="23"/>
      <c r="AB671" s="23"/>
      <c r="AC671" s="34"/>
      <c r="AD671" s="23" t="s">
        <v>97</v>
      </c>
      <c r="AE671" s="34"/>
      <c r="AF671" s="23" t="str">
        <f>TEXT(AJ652,"#,###.##")</f>
        <v>4,400.</v>
      </c>
      <c r="AG671" s="34"/>
      <c r="AH671" s="34"/>
      <c r="AI671" s="34"/>
      <c r="AJ671" s="34"/>
      <c r="AK671" s="34"/>
      <c r="AL671" s="23"/>
      <c r="AM671" s="23"/>
      <c r="AN671" s="23"/>
      <c r="AO671" s="23"/>
      <c r="AP671" s="23"/>
      <c r="AQ671" s="29"/>
      <c r="AR671" s="29"/>
      <c r="AS671" s="29"/>
      <c r="AT671" s="29"/>
      <c r="AU671" s="29"/>
      <c r="AV671" s="34"/>
      <c r="AW671" s="34"/>
      <c r="AX671" s="34"/>
      <c r="AY671" s="34"/>
      <c r="AZ671" s="34"/>
      <c r="BA671" s="34"/>
      <c r="BB671" s="34"/>
      <c r="BC671" s="34"/>
      <c r="BD671" s="23"/>
      <c r="BE671" s="23"/>
      <c r="BF671" s="23"/>
      <c r="BG671" s="23" t="s">
        <v>103</v>
      </c>
      <c r="BH671" s="23"/>
      <c r="BI671" s="23" t="str">
        <f>TEXT(TRUNC(Q671+X671+AF671,0),"#,##0")</f>
        <v>271,920</v>
      </c>
      <c r="BJ671" s="34"/>
      <c r="BK671" s="23"/>
      <c r="BL671" s="23"/>
      <c r="BM671" s="23"/>
      <c r="BN671" s="23"/>
      <c r="BO671" s="23"/>
      <c r="BP671" s="23"/>
      <c r="BQ671" s="23"/>
      <c r="BR671" s="23"/>
      <c r="BS671" s="23"/>
      <c r="BT671" s="23"/>
      <c r="BU671" s="23"/>
      <c r="BV671" s="23"/>
      <c r="BW671" s="23"/>
      <c r="BX671" s="23"/>
      <c r="BY671" s="23"/>
      <c r="BZ671" s="23"/>
      <c r="CA671" s="23"/>
      <c r="CB671" s="23"/>
      <c r="CC671" s="23"/>
      <c r="CD671" s="23"/>
      <c r="CE671" s="23"/>
      <c r="CF671" s="23"/>
      <c r="CG671" s="23"/>
      <c r="CH671" s="27"/>
      <c r="CI671" s="64"/>
      <c r="CJ671" s="27"/>
      <c r="CK671" s="28"/>
      <c r="CL671" s="39"/>
    </row>
    <row r="672" spans="1:90" ht="14.25" customHeight="1" x14ac:dyDescent="0.25">
      <c r="A672" s="20"/>
      <c r="B672" s="31"/>
      <c r="C672" s="30"/>
      <c r="D672" s="23"/>
      <c r="E672" s="23"/>
      <c r="F672" s="23"/>
      <c r="G672" s="23"/>
      <c r="H672" s="23" t="s">
        <v>124</v>
      </c>
      <c r="I672" s="23"/>
      <c r="J672" s="23"/>
      <c r="K672" s="23"/>
      <c r="L672" s="23" t="s">
        <v>125</v>
      </c>
      <c r="M672" s="23"/>
      <c r="N672" s="23"/>
      <c r="O672" s="23" t="s">
        <v>121</v>
      </c>
      <c r="P672" s="23"/>
      <c r="Q672" s="23" t="str">
        <f>TEXT(AI665,"#,###.##")</f>
        <v>330.7</v>
      </c>
      <c r="R672" s="23"/>
      <c r="S672" s="23"/>
      <c r="T672" s="23"/>
      <c r="U672" s="23"/>
      <c r="V672" s="23" t="s">
        <v>97</v>
      </c>
      <c r="W672" s="23"/>
      <c r="X672" s="23" t="str">
        <f>TEXT(AI667,"#,###.##")</f>
        <v>1,118.8</v>
      </c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9"/>
      <c r="AR672" s="29"/>
      <c r="AS672" s="29"/>
      <c r="AT672" s="23"/>
      <c r="AU672" s="29"/>
      <c r="AV672" s="34"/>
      <c r="AW672" s="34"/>
      <c r="AX672" s="34"/>
      <c r="AY672" s="34"/>
      <c r="AZ672" s="34"/>
      <c r="BA672" s="34"/>
      <c r="BB672" s="34"/>
      <c r="BC672" s="34"/>
      <c r="BD672" s="23"/>
      <c r="BE672" s="23"/>
      <c r="BF672" s="23"/>
      <c r="BG672" s="23" t="s">
        <v>103</v>
      </c>
      <c r="BH672" s="23"/>
      <c r="BI672" s="23" t="str">
        <f>TEXT(TRUNC(Q672+X672,0),"#,##0")</f>
        <v>1,449</v>
      </c>
      <c r="BJ672" s="34"/>
      <c r="BK672" s="23"/>
      <c r="BL672" s="23"/>
      <c r="BM672" s="23"/>
      <c r="BN672" s="23"/>
      <c r="BO672" s="23"/>
      <c r="BP672" s="23"/>
      <c r="BQ672" s="23"/>
      <c r="BR672" s="23"/>
      <c r="BS672" s="23"/>
      <c r="BT672" s="23"/>
      <c r="BU672" s="23"/>
      <c r="BV672" s="23"/>
      <c r="BW672" s="23"/>
      <c r="BX672" s="23"/>
      <c r="BY672" s="23"/>
      <c r="BZ672" s="23"/>
      <c r="CA672" s="23"/>
      <c r="CB672" s="23"/>
      <c r="CC672" s="23"/>
      <c r="CD672" s="23"/>
      <c r="CE672" s="23"/>
      <c r="CF672" s="23"/>
      <c r="CG672" s="23"/>
      <c r="CH672" s="27"/>
      <c r="CI672" s="64"/>
      <c r="CJ672" s="27"/>
      <c r="CK672" s="28"/>
      <c r="CL672" s="39"/>
    </row>
    <row r="673" spans="1:90" ht="14.25" customHeight="1" x14ac:dyDescent="0.25">
      <c r="A673" s="20"/>
      <c r="B673" s="31"/>
      <c r="C673" s="30"/>
      <c r="D673" s="23"/>
      <c r="E673" s="23"/>
      <c r="F673" s="23"/>
      <c r="G673" s="23"/>
      <c r="H673" s="23" t="s">
        <v>126</v>
      </c>
      <c r="I673" s="23"/>
      <c r="J673" s="23"/>
      <c r="K673" s="23"/>
      <c r="L673" s="23" t="s">
        <v>127</v>
      </c>
      <c r="M673" s="23"/>
      <c r="N673" s="23"/>
      <c r="O673" s="23" t="s">
        <v>121</v>
      </c>
      <c r="P673" s="23"/>
      <c r="Q673" s="23" t="str">
        <f>TEXT(BI670+BI671+BI672,"#,##0")</f>
        <v>2,891,971</v>
      </c>
      <c r="R673" s="29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  <c r="AW673" s="23"/>
      <c r="AX673" s="23"/>
      <c r="AY673" s="23"/>
      <c r="AZ673" s="23"/>
      <c r="BA673" s="23"/>
      <c r="BB673" s="23"/>
      <c r="BC673" s="23"/>
      <c r="BD673" s="23"/>
      <c r="BE673" s="23"/>
      <c r="BF673" s="23"/>
      <c r="BG673" s="23"/>
      <c r="BH673" s="23"/>
      <c r="BI673" s="23"/>
      <c r="BJ673" s="23"/>
      <c r="BK673" s="23"/>
      <c r="BL673" s="23"/>
      <c r="BM673" s="23"/>
      <c r="BN673" s="23"/>
      <c r="BO673" s="23"/>
      <c r="BP673" s="23"/>
      <c r="BQ673" s="23"/>
      <c r="BR673" s="23"/>
      <c r="BS673" s="23"/>
      <c r="BT673" s="23"/>
      <c r="BU673" s="23"/>
      <c r="BV673" s="23"/>
      <c r="BW673" s="23"/>
      <c r="BX673" s="23"/>
      <c r="BY673" s="23"/>
      <c r="BZ673" s="23"/>
      <c r="CA673" s="23"/>
      <c r="CB673" s="23"/>
      <c r="CC673" s="23"/>
      <c r="CD673" s="23"/>
      <c r="CE673" s="23"/>
      <c r="CF673" s="23"/>
      <c r="CG673" s="23"/>
      <c r="CH673" s="64">
        <f>CI673+CJ673+CK673</f>
        <v>2891971</v>
      </c>
      <c r="CI673" s="64" t="str">
        <f>BI670</f>
        <v>2,618,602</v>
      </c>
      <c r="CJ673" s="27" t="str">
        <f>BI671</f>
        <v>271,920</v>
      </c>
      <c r="CK673" s="28" t="str">
        <f>BI672</f>
        <v>1,449</v>
      </c>
      <c r="CL673" s="39"/>
    </row>
    <row r="674" spans="1:90" ht="14.25" customHeight="1" x14ac:dyDescent="0.2">
      <c r="A674" s="20"/>
      <c r="B674" s="31"/>
      <c r="C674" s="30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  <c r="AY674" s="23"/>
      <c r="AZ674" s="23"/>
      <c r="BA674" s="23"/>
      <c r="BB674" s="23"/>
      <c r="BC674" s="23"/>
      <c r="BD674" s="23"/>
      <c r="BE674" s="23"/>
      <c r="BF674" s="23"/>
      <c r="BG674" s="23"/>
      <c r="BH674" s="23"/>
      <c r="BI674" s="23"/>
      <c r="BJ674" s="23"/>
      <c r="BK674" s="23"/>
      <c r="BL674" s="23"/>
      <c r="BM674" s="23"/>
      <c r="BN674" s="23"/>
      <c r="BO674" s="23"/>
      <c r="BP674" s="23"/>
      <c r="BQ674" s="23"/>
      <c r="BR674" s="23"/>
      <c r="BS674" s="23"/>
      <c r="BT674" s="23"/>
      <c r="BU674" s="23"/>
      <c r="BV674" s="23"/>
      <c r="BW674" s="23"/>
      <c r="BX674" s="23"/>
      <c r="BY674" s="23"/>
      <c r="BZ674" s="23"/>
      <c r="CA674" s="23"/>
      <c r="CB674" s="23"/>
      <c r="CC674" s="23"/>
      <c r="CD674" s="23"/>
      <c r="CE674" s="23"/>
      <c r="CF674" s="23"/>
      <c r="CG674" s="23"/>
      <c r="CH674" s="27"/>
      <c r="CI674" s="28"/>
      <c r="CJ674" s="28"/>
      <c r="CK674" s="28"/>
      <c r="CL674" s="39"/>
    </row>
    <row r="675" spans="1:90" ht="14.25" customHeight="1" x14ac:dyDescent="0.2">
      <c r="A675" s="20"/>
      <c r="B675" s="32"/>
      <c r="C675" s="33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/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78"/>
      <c r="AS675" s="78"/>
      <c r="AT675" s="78"/>
      <c r="AU675" s="78"/>
      <c r="AV675" s="78"/>
      <c r="AW675" s="78"/>
      <c r="AX675" s="78"/>
      <c r="AY675" s="78"/>
      <c r="AZ675" s="78"/>
      <c r="BA675" s="78"/>
      <c r="BB675" s="78"/>
      <c r="BC675" s="78"/>
      <c r="BD675" s="78"/>
      <c r="BE675" s="78"/>
      <c r="BF675" s="78"/>
      <c r="BG675" s="78"/>
      <c r="BH675" s="78"/>
      <c r="BI675" s="78"/>
      <c r="BJ675" s="78"/>
      <c r="BK675" s="78"/>
      <c r="BL675" s="78"/>
      <c r="BM675" s="78"/>
      <c r="BN675" s="78"/>
      <c r="BO675" s="78"/>
      <c r="BP675" s="78"/>
      <c r="BQ675" s="78"/>
      <c r="BR675" s="78"/>
      <c r="BS675" s="78"/>
      <c r="BT675" s="78"/>
      <c r="BU675" s="78"/>
      <c r="BV675" s="78"/>
      <c r="BW675" s="78"/>
      <c r="BX675" s="78"/>
      <c r="BY675" s="78"/>
      <c r="BZ675" s="78"/>
      <c r="CA675" s="78"/>
      <c r="CB675" s="78"/>
      <c r="CC675" s="78"/>
      <c r="CD675" s="78"/>
      <c r="CE675" s="78"/>
      <c r="CF675" s="78"/>
      <c r="CG675" s="78"/>
      <c r="CH675" s="91"/>
      <c r="CI675" s="92"/>
      <c r="CJ675" s="92"/>
      <c r="CK675" s="92"/>
      <c r="CL675" s="93"/>
    </row>
    <row r="676" spans="1:90" ht="17.45" customHeight="1" x14ac:dyDescent="0.2">
      <c r="A676" s="20"/>
      <c r="B676" s="82" t="s">
        <v>370</v>
      </c>
      <c r="C676" s="83"/>
      <c r="D676" s="83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  <c r="AA676" s="83"/>
      <c r="AB676" s="83"/>
      <c r="AC676" s="83"/>
      <c r="AD676" s="83"/>
      <c r="AE676" s="83"/>
      <c r="AF676" s="83"/>
      <c r="AG676" s="83"/>
      <c r="AH676" s="83"/>
      <c r="AI676" s="83"/>
      <c r="AJ676" s="83"/>
      <c r="AK676" s="83"/>
      <c r="AL676" s="83"/>
      <c r="AM676" s="83"/>
      <c r="AN676" s="83"/>
      <c r="AO676" s="83"/>
      <c r="AP676" s="83"/>
      <c r="AQ676" s="83"/>
      <c r="AR676" s="83"/>
      <c r="AS676" s="83"/>
      <c r="AT676" s="83"/>
      <c r="AU676" s="83"/>
      <c r="AV676" s="83"/>
      <c r="AW676" s="83"/>
      <c r="AX676" s="83"/>
      <c r="AY676" s="83"/>
      <c r="AZ676" s="83"/>
      <c r="BA676" s="83"/>
      <c r="BB676" s="83"/>
      <c r="BC676" s="83"/>
      <c r="BD676" s="83"/>
      <c r="BE676" s="83"/>
      <c r="BF676" s="83"/>
      <c r="BG676" s="83"/>
      <c r="BH676" s="83"/>
      <c r="BI676" s="83"/>
      <c r="BJ676" s="83"/>
      <c r="BK676" s="83"/>
      <c r="BL676" s="83"/>
      <c r="BM676" s="83"/>
      <c r="BN676" s="83"/>
      <c r="BO676" s="83"/>
      <c r="BP676" s="83"/>
      <c r="BQ676" s="83"/>
      <c r="BR676" s="83"/>
      <c r="BS676" s="83"/>
      <c r="BT676" s="83"/>
      <c r="BU676" s="83"/>
      <c r="BV676" s="83"/>
      <c r="BW676" s="83"/>
      <c r="BX676" s="83"/>
      <c r="BY676" s="83"/>
      <c r="BZ676" s="83"/>
      <c r="CA676" s="83"/>
      <c r="CB676" s="83"/>
      <c r="CC676" s="83"/>
      <c r="CD676" s="83"/>
      <c r="CE676" s="83"/>
      <c r="CF676" s="83"/>
      <c r="CG676" s="83"/>
      <c r="CH676" s="84">
        <f>TRUNC(CI676+CJ676+CK676,0)</f>
        <v>7635</v>
      </c>
      <c r="CI676" s="85">
        <f>TRUNC(CI696,0)</f>
        <v>4629</v>
      </c>
      <c r="CJ676" s="85">
        <f>TRUNC(CJ696,0)</f>
        <v>1894</v>
      </c>
      <c r="CK676" s="85">
        <f>TRUNC(CK696,0)</f>
        <v>1112</v>
      </c>
      <c r="CL676" s="101">
        <v>695</v>
      </c>
    </row>
    <row r="677" spans="1:90" ht="17.45" customHeight="1" x14ac:dyDescent="0.25">
      <c r="A677" s="20"/>
      <c r="B677" s="31"/>
      <c r="C677" s="30"/>
      <c r="D677" s="29"/>
      <c r="E677" s="29"/>
      <c r="F677" s="29"/>
      <c r="G677" s="23" t="s">
        <v>371</v>
      </c>
      <c r="H677" s="23"/>
      <c r="I677" s="23" t="s">
        <v>103</v>
      </c>
      <c r="J677" s="23"/>
      <c r="K677" s="23" t="str">
        <f>TEXT(2,"#,##0.#######")</f>
        <v>2.</v>
      </c>
      <c r="L677" s="23"/>
      <c r="M677" s="23"/>
      <c r="N677" s="23" t="s">
        <v>372</v>
      </c>
      <c r="O677" s="23"/>
      <c r="P677" s="23"/>
      <c r="Q677" s="23"/>
      <c r="R677" s="23"/>
      <c r="S677" s="23" t="s">
        <v>373</v>
      </c>
      <c r="T677" s="23"/>
      <c r="U677" s="23"/>
      <c r="V677" s="23" t="s">
        <v>103</v>
      </c>
      <c r="W677" s="23"/>
      <c r="X677" s="23" t="str">
        <f>TEXT(30,"#,##0.#######")</f>
        <v>30.</v>
      </c>
      <c r="Y677" s="23"/>
      <c r="Z677" s="23" t="s">
        <v>372</v>
      </c>
      <c r="AA677" s="23"/>
      <c r="AB677" s="23" t="s">
        <v>118</v>
      </c>
      <c r="AC677" s="23" t="s">
        <v>119</v>
      </c>
      <c r="AD677" s="23"/>
      <c r="AE677" s="23"/>
      <c r="AF677" s="23"/>
      <c r="AG677" s="23"/>
      <c r="AH677" s="23"/>
      <c r="AI677" s="23"/>
      <c r="AJ677" s="23" t="s">
        <v>374</v>
      </c>
      <c r="AK677" s="23"/>
      <c r="AL677" s="23"/>
      <c r="AM677" s="23" t="s">
        <v>103</v>
      </c>
      <c r="AN677" s="23"/>
      <c r="AO677" s="23" t="str">
        <f>TEXT(35,"#,##0.#######")</f>
        <v>35.</v>
      </c>
      <c r="AP677" s="23"/>
      <c r="AQ677" s="23" t="s">
        <v>372</v>
      </c>
      <c r="AR677" s="23"/>
      <c r="AS677" s="23" t="s">
        <v>118</v>
      </c>
      <c r="AT677" s="23" t="s">
        <v>119</v>
      </c>
      <c r="AU677" s="23"/>
      <c r="AV677" s="23"/>
      <c r="AW677" s="23"/>
      <c r="AX677" s="23"/>
      <c r="AY677" s="23"/>
      <c r="AZ677" s="23"/>
      <c r="BA677" s="23"/>
      <c r="BB677" s="23"/>
      <c r="BC677" s="23"/>
      <c r="BD677" s="23"/>
      <c r="BE677" s="23"/>
      <c r="BF677" s="23"/>
      <c r="BG677" s="23"/>
      <c r="BH677" s="23"/>
      <c r="BI677" s="23"/>
      <c r="BJ677" s="23"/>
      <c r="BK677" s="23"/>
      <c r="BL677" s="23"/>
      <c r="BM677" s="23"/>
      <c r="BN677" s="23"/>
      <c r="BO677" s="23"/>
      <c r="BP677" s="23"/>
      <c r="BQ677" s="23"/>
      <c r="BR677" s="23"/>
      <c r="BS677" s="23"/>
      <c r="BT677" s="23"/>
      <c r="BU677" s="23"/>
      <c r="BV677" s="23"/>
      <c r="BW677" s="23"/>
      <c r="BX677" s="23"/>
      <c r="BY677" s="23"/>
      <c r="BZ677" s="23"/>
      <c r="CA677" s="23"/>
      <c r="CB677" s="23"/>
      <c r="CC677" s="23"/>
      <c r="CD677" s="23"/>
      <c r="CE677" s="23"/>
      <c r="CF677" s="23"/>
      <c r="CG677" s="23"/>
      <c r="CH677" s="27"/>
      <c r="CI677" s="27"/>
      <c r="CJ677" s="28"/>
      <c r="CK677" s="28"/>
      <c r="CL677" s="39" t="s">
        <v>375</v>
      </c>
    </row>
    <row r="678" spans="1:90" ht="17.45" customHeight="1" x14ac:dyDescent="0.25">
      <c r="A678" s="20"/>
      <c r="B678" s="31"/>
      <c r="C678" s="30"/>
      <c r="D678" s="29"/>
      <c r="E678" s="29"/>
      <c r="F678" s="29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  <c r="AY678" s="23"/>
      <c r="AZ678" s="23"/>
      <c r="BA678" s="23"/>
      <c r="BB678" s="23"/>
      <c r="BC678" s="23"/>
      <c r="BD678" s="23"/>
      <c r="BE678" s="23"/>
      <c r="BF678" s="23"/>
      <c r="BG678" s="23"/>
      <c r="BH678" s="23"/>
      <c r="BI678" s="23"/>
      <c r="BJ678" s="23"/>
      <c r="BK678" s="23"/>
      <c r="BL678" s="23"/>
      <c r="BM678" s="23"/>
      <c r="BN678" s="23"/>
      <c r="BO678" s="23"/>
      <c r="BP678" s="23"/>
      <c r="BQ678" s="23"/>
      <c r="BR678" s="23"/>
      <c r="BS678" s="23"/>
      <c r="BT678" s="23"/>
      <c r="BU678" s="23"/>
      <c r="BV678" s="23"/>
      <c r="BW678" s="23"/>
      <c r="BX678" s="23"/>
      <c r="BY678" s="23"/>
      <c r="BZ678" s="23"/>
      <c r="CA678" s="23"/>
      <c r="CB678" s="23"/>
      <c r="CC678" s="23"/>
      <c r="CD678" s="23"/>
      <c r="CE678" s="23"/>
      <c r="CF678" s="23"/>
      <c r="CG678" s="23"/>
      <c r="CH678" s="27"/>
      <c r="CI678" s="27"/>
      <c r="CJ678" s="28"/>
      <c r="CK678" s="28"/>
      <c r="CL678" s="39"/>
    </row>
    <row r="679" spans="1:90" ht="17.45" customHeight="1" x14ac:dyDescent="0.25">
      <c r="A679" s="20"/>
      <c r="B679" s="31"/>
      <c r="C679" s="30"/>
      <c r="D679" s="29"/>
      <c r="E679" s="29"/>
      <c r="F679" s="29"/>
      <c r="G679" s="23" t="s">
        <v>112</v>
      </c>
      <c r="H679" s="23"/>
      <c r="I679" s="23" t="s">
        <v>103</v>
      </c>
      <c r="J679" s="23"/>
      <c r="K679" s="23" t="str">
        <f>TEXT(5.5,"#,##0.#######")</f>
        <v>5.5</v>
      </c>
      <c r="L679" s="23"/>
      <c r="M679" s="23"/>
      <c r="N679" s="23" t="s">
        <v>117</v>
      </c>
      <c r="O679" s="23"/>
      <c r="P679" s="23"/>
      <c r="Q679" s="23"/>
      <c r="R679" s="23"/>
      <c r="S679" s="23"/>
      <c r="T679" s="23"/>
      <c r="U679" s="23" t="s">
        <v>114</v>
      </c>
      <c r="V679" s="23"/>
      <c r="W679" s="23" t="s">
        <v>103</v>
      </c>
      <c r="X679" s="23"/>
      <c r="Y679" s="23" t="str">
        <f>TEXT(1,"#,##0.#######")</f>
        <v>1.</v>
      </c>
      <c r="Z679" s="23"/>
      <c r="AA679" s="23"/>
      <c r="AB679" s="23"/>
      <c r="AC679" s="23"/>
      <c r="AD679" s="23"/>
      <c r="AE679" s="23"/>
      <c r="AF679" s="23"/>
      <c r="AG679" s="23" t="s">
        <v>107</v>
      </c>
      <c r="AH679" s="23"/>
      <c r="AI679" s="23" t="s">
        <v>103</v>
      </c>
      <c r="AJ679" s="23"/>
      <c r="AK679" s="23" t="str">
        <f>TEXT(0.9,"#,##0.#######")</f>
        <v>0.9</v>
      </c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  <c r="AY679" s="23"/>
      <c r="AZ679" s="23"/>
      <c r="BA679" s="23"/>
      <c r="BB679" s="23"/>
      <c r="BC679" s="23"/>
      <c r="BD679" s="23"/>
      <c r="BE679" s="23"/>
      <c r="BF679" s="23"/>
      <c r="BG679" s="23"/>
      <c r="BH679" s="23"/>
      <c r="BI679" s="23"/>
      <c r="BJ679" s="23"/>
      <c r="BK679" s="23"/>
      <c r="BL679" s="23"/>
      <c r="BM679" s="23"/>
      <c r="BN679" s="23"/>
      <c r="BO679" s="23"/>
      <c r="BP679" s="23"/>
      <c r="BQ679" s="23"/>
      <c r="BR679" s="23"/>
      <c r="BS679" s="23"/>
      <c r="BT679" s="23"/>
      <c r="BU679" s="23"/>
      <c r="BV679" s="23"/>
      <c r="BW679" s="23"/>
      <c r="BX679" s="23"/>
      <c r="BY679" s="23"/>
      <c r="BZ679" s="23"/>
      <c r="CA679" s="23"/>
      <c r="CB679" s="23"/>
      <c r="CC679" s="23"/>
      <c r="CD679" s="23"/>
      <c r="CE679" s="23"/>
      <c r="CF679" s="23"/>
      <c r="CG679" s="23"/>
      <c r="CH679" s="27"/>
      <c r="CI679" s="27"/>
      <c r="CJ679" s="28"/>
      <c r="CK679" s="28"/>
      <c r="CL679" s="39"/>
    </row>
    <row r="680" spans="1:90" ht="17.45" customHeight="1" x14ac:dyDescent="0.25">
      <c r="A680" s="20"/>
      <c r="B680" s="31"/>
      <c r="C680" s="30"/>
      <c r="D680" s="29"/>
      <c r="E680" s="29"/>
      <c r="F680" s="29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23"/>
      <c r="BC680" s="23"/>
      <c r="BD680" s="23"/>
      <c r="BE680" s="23"/>
      <c r="BF680" s="23"/>
      <c r="BG680" s="23"/>
      <c r="BH680" s="23"/>
      <c r="BI680" s="23"/>
      <c r="BJ680" s="23"/>
      <c r="BK680" s="23"/>
      <c r="BL680" s="23"/>
      <c r="BM680" s="23"/>
      <c r="BN680" s="23"/>
      <c r="BO680" s="23"/>
      <c r="BP680" s="23"/>
      <c r="BQ680" s="23"/>
      <c r="BR680" s="23"/>
      <c r="BS680" s="23"/>
      <c r="BT680" s="23"/>
      <c r="BU680" s="23"/>
      <c r="BV680" s="23"/>
      <c r="BW680" s="23"/>
      <c r="BX680" s="23"/>
      <c r="BY680" s="23"/>
      <c r="BZ680" s="23"/>
      <c r="CA680" s="23"/>
      <c r="CB680" s="23"/>
      <c r="CC680" s="23"/>
      <c r="CD680" s="23"/>
      <c r="CE680" s="23"/>
      <c r="CF680" s="23"/>
      <c r="CG680" s="23"/>
      <c r="CH680" s="27"/>
      <c r="CI680" s="27"/>
      <c r="CJ680" s="28"/>
      <c r="CK680" s="28"/>
      <c r="CL680" s="39"/>
    </row>
    <row r="681" spans="1:90" ht="17.45" customHeight="1" x14ac:dyDescent="0.25">
      <c r="A681" s="20"/>
      <c r="B681" s="31"/>
      <c r="C681" s="30"/>
      <c r="D681" s="29"/>
      <c r="E681" s="29"/>
      <c r="F681" s="29"/>
      <c r="G681" s="23" t="s">
        <v>376</v>
      </c>
      <c r="H681" s="23"/>
      <c r="I681" s="23"/>
      <c r="J681" s="23" t="s">
        <v>103</v>
      </c>
      <c r="K681" s="23"/>
      <c r="L681" s="23" t="str">
        <f>TEXT(15,"#,##0.#######")</f>
        <v>15.</v>
      </c>
      <c r="M681" s="23"/>
      <c r="N681" s="23"/>
      <c r="O681" s="23"/>
      <c r="P681" s="23"/>
      <c r="Q681" s="23"/>
      <c r="R681" s="23"/>
      <c r="S681" s="23"/>
      <c r="T681" s="23"/>
      <c r="U681" s="23" t="s">
        <v>377</v>
      </c>
      <c r="V681" s="23"/>
      <c r="W681" s="23"/>
      <c r="X681" s="23" t="s">
        <v>103</v>
      </c>
      <c r="Y681" s="23"/>
      <c r="Z681" s="23" t="str">
        <f>TEXT(15,"#,##0.#######")</f>
        <v>15.</v>
      </c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23"/>
      <c r="BC681" s="23"/>
      <c r="BD681" s="23"/>
      <c r="BE681" s="23"/>
      <c r="BF681" s="23"/>
      <c r="BG681" s="23"/>
      <c r="BH681" s="23"/>
      <c r="BI681" s="23"/>
      <c r="BJ681" s="23"/>
      <c r="BK681" s="23"/>
      <c r="BL681" s="23"/>
      <c r="BM681" s="23"/>
      <c r="BN681" s="23"/>
      <c r="BO681" s="23"/>
      <c r="BP681" s="23"/>
      <c r="BQ681" s="23"/>
      <c r="BR681" s="23"/>
      <c r="BS681" s="23"/>
      <c r="BT681" s="23"/>
      <c r="BU681" s="23"/>
      <c r="BV681" s="23"/>
      <c r="BW681" s="23"/>
      <c r="BX681" s="23"/>
      <c r="BY681" s="23"/>
      <c r="BZ681" s="23"/>
      <c r="CA681" s="23"/>
      <c r="CB681" s="23"/>
      <c r="CC681" s="23"/>
      <c r="CD681" s="23"/>
      <c r="CE681" s="23"/>
      <c r="CF681" s="23"/>
      <c r="CG681" s="23"/>
      <c r="CH681" s="27"/>
      <c r="CI681" s="27"/>
      <c r="CJ681" s="28"/>
      <c r="CK681" s="28"/>
      <c r="CL681" s="39"/>
    </row>
    <row r="682" spans="1:90" ht="17.45" customHeight="1" x14ac:dyDescent="0.25">
      <c r="A682" s="20"/>
      <c r="B682" s="31"/>
      <c r="C682" s="30"/>
      <c r="D682" s="29"/>
      <c r="E682" s="29"/>
      <c r="F682" s="29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  <c r="AW682" s="23"/>
      <c r="AX682" s="23"/>
      <c r="AY682" s="23"/>
      <c r="AZ682" s="23"/>
      <c r="BA682" s="23"/>
      <c r="BB682" s="23"/>
      <c r="BC682" s="23"/>
      <c r="BD682" s="23"/>
      <c r="BE682" s="23"/>
      <c r="BF682" s="23"/>
      <c r="BG682" s="23"/>
      <c r="BH682" s="23"/>
      <c r="BI682" s="23"/>
      <c r="BJ682" s="23"/>
      <c r="BK682" s="23"/>
      <c r="BL682" s="23"/>
      <c r="BM682" s="23"/>
      <c r="BN682" s="23"/>
      <c r="BO682" s="23"/>
      <c r="BP682" s="23"/>
      <c r="BQ682" s="23"/>
      <c r="BR682" s="23"/>
      <c r="BS682" s="23"/>
      <c r="BT682" s="23"/>
      <c r="BU682" s="23"/>
      <c r="BV682" s="23"/>
      <c r="BW682" s="23"/>
      <c r="BX682" s="23"/>
      <c r="BY682" s="23"/>
      <c r="BZ682" s="23"/>
      <c r="CA682" s="23"/>
      <c r="CB682" s="23"/>
      <c r="CC682" s="23"/>
      <c r="CD682" s="23"/>
      <c r="CE682" s="23"/>
      <c r="CF682" s="23"/>
      <c r="CG682" s="23"/>
      <c r="CH682" s="27"/>
      <c r="CI682" s="27"/>
      <c r="CJ682" s="28"/>
      <c r="CK682" s="28"/>
      <c r="CL682" s="39"/>
    </row>
    <row r="683" spans="1:90" ht="17.45" customHeight="1" x14ac:dyDescent="0.25">
      <c r="A683" s="20"/>
      <c r="B683" s="31"/>
      <c r="C683" s="30"/>
      <c r="D683" s="29"/>
      <c r="E683" s="29"/>
      <c r="F683" s="29"/>
      <c r="G683" s="23"/>
      <c r="H683" s="23"/>
      <c r="I683" s="23"/>
      <c r="J683" s="23"/>
      <c r="K683" s="23"/>
      <c r="L683" s="23"/>
      <c r="M683" s="23"/>
      <c r="N683" s="23" t="s">
        <v>371</v>
      </c>
      <c r="O683" s="23"/>
      <c r="P683" s="23"/>
      <c r="Q683" s="23"/>
      <c r="R683" s="23"/>
      <c r="S683" s="23"/>
      <c r="T683" s="23" t="s">
        <v>371</v>
      </c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 t="str">
        <f>TEXT(K677,"#,##0.#######")</f>
        <v>2.</v>
      </c>
      <c r="AI683" s="23"/>
      <c r="AJ683" s="23"/>
      <c r="AK683" s="23"/>
      <c r="AL683" s="23"/>
      <c r="AM683" s="23"/>
      <c r="AN683" s="23" t="str">
        <f>TEXT(K677,"#,##0.#######")</f>
        <v>2.</v>
      </c>
      <c r="AO683" s="23"/>
      <c r="AP683" s="23"/>
      <c r="AQ683" s="23"/>
      <c r="AR683" s="23"/>
      <c r="AS683" s="23"/>
      <c r="AT683" s="23"/>
      <c r="AU683" s="23"/>
      <c r="AV683" s="23"/>
      <c r="AW683" s="23"/>
      <c r="AX683" s="23"/>
      <c r="AY683" s="23"/>
      <c r="AZ683" s="23"/>
      <c r="BA683" s="23"/>
      <c r="BB683" s="23"/>
      <c r="BC683" s="23"/>
      <c r="BD683" s="23"/>
      <c r="BE683" s="23"/>
      <c r="BF683" s="23"/>
      <c r="BG683" s="23"/>
      <c r="BH683" s="23"/>
      <c r="BI683" s="23"/>
      <c r="BJ683" s="23"/>
      <c r="BK683" s="23"/>
      <c r="BL683" s="23"/>
      <c r="BM683" s="23"/>
      <c r="BN683" s="23"/>
      <c r="BO683" s="23"/>
      <c r="BP683" s="23"/>
      <c r="BQ683" s="23"/>
      <c r="BR683" s="23"/>
      <c r="BS683" s="23"/>
      <c r="BT683" s="23"/>
      <c r="BU683" s="23"/>
      <c r="BV683" s="23"/>
      <c r="BW683" s="23"/>
      <c r="BX683" s="23"/>
      <c r="BY683" s="23"/>
      <c r="BZ683" s="23"/>
      <c r="CA683" s="23"/>
      <c r="CB683" s="23"/>
      <c r="CC683" s="23"/>
      <c r="CD683" s="23"/>
      <c r="CE683" s="23"/>
      <c r="CF683" s="23"/>
      <c r="CG683" s="23"/>
      <c r="CH683" s="27"/>
      <c r="CI683" s="27"/>
      <c r="CJ683" s="28"/>
      <c r="CK683" s="28"/>
      <c r="CL683" s="39"/>
    </row>
    <row r="684" spans="1:90" ht="17.45" customHeight="1" x14ac:dyDescent="0.25">
      <c r="A684" s="20"/>
      <c r="B684" s="31"/>
      <c r="C684" s="30"/>
      <c r="D684" s="29"/>
      <c r="E684" s="29"/>
      <c r="F684" s="29"/>
      <c r="G684" s="23" t="s">
        <v>378</v>
      </c>
      <c r="H684" s="23"/>
      <c r="I684" s="23"/>
      <c r="J684" s="23" t="s">
        <v>103</v>
      </c>
      <c r="K684" s="23"/>
      <c r="L684" s="23" t="s">
        <v>96</v>
      </c>
      <c r="M684" s="23" t="s">
        <v>116</v>
      </c>
      <c r="N684" s="23"/>
      <c r="O684" s="23" t="s">
        <v>116</v>
      </c>
      <c r="P684" s="23"/>
      <c r="Q684" s="23" t="s">
        <v>97</v>
      </c>
      <c r="R684" s="23"/>
      <c r="S684" s="23" t="s">
        <v>116</v>
      </c>
      <c r="T684" s="23"/>
      <c r="U684" s="23" t="s">
        <v>116</v>
      </c>
      <c r="V684" s="23"/>
      <c r="W684" s="23" t="s">
        <v>101</v>
      </c>
      <c r="X684" s="23" t="s">
        <v>102</v>
      </c>
      <c r="Y684" s="23"/>
      <c r="Z684" s="23" t="str">
        <f>TEXT(60,"#,##0.#######")</f>
        <v>60.</v>
      </c>
      <c r="AA684" s="23"/>
      <c r="AB684" s="23"/>
      <c r="AC684" s="23"/>
      <c r="AD684" s="23" t="s">
        <v>103</v>
      </c>
      <c r="AE684" s="23"/>
      <c r="AF684" s="23" t="s">
        <v>96</v>
      </c>
      <c r="AG684" s="23" t="s">
        <v>116</v>
      </c>
      <c r="AH684" s="23"/>
      <c r="AI684" s="23" t="s">
        <v>116</v>
      </c>
      <c r="AJ684" s="23"/>
      <c r="AK684" s="23" t="s">
        <v>97</v>
      </c>
      <c r="AL684" s="23"/>
      <c r="AM684" s="23" t="s">
        <v>116</v>
      </c>
      <c r="AN684" s="23"/>
      <c r="AO684" s="23" t="s">
        <v>116</v>
      </c>
      <c r="AP684" s="23"/>
      <c r="AQ684" s="23" t="s">
        <v>101</v>
      </c>
      <c r="AR684" s="23" t="s">
        <v>102</v>
      </c>
      <c r="AS684" s="23"/>
      <c r="AT684" s="23" t="str">
        <f>TEXT(60,"#,##0.#######")</f>
        <v>60.</v>
      </c>
      <c r="AU684" s="23"/>
      <c r="AV684" s="23"/>
      <c r="AW684" s="23" t="s">
        <v>103</v>
      </c>
      <c r="AX684" s="23"/>
      <c r="AY684" s="23" t="str">
        <f>TEXT(ROUND(((K677)/(X677)+(K677)/(AO677))*Z684,2),"#,##0.#######")</f>
        <v>7.43</v>
      </c>
      <c r="AZ684" s="23"/>
      <c r="BA684" s="23"/>
      <c r="BB684" s="23"/>
      <c r="BC684" s="23"/>
      <c r="BD684" s="23"/>
      <c r="BE684" s="23"/>
      <c r="BF684" s="23"/>
      <c r="BG684" s="23"/>
      <c r="BH684" s="23"/>
      <c r="BI684" s="23"/>
      <c r="BJ684" s="23"/>
      <c r="BK684" s="23"/>
      <c r="BL684" s="23"/>
      <c r="BM684" s="23"/>
      <c r="BN684" s="23"/>
      <c r="BO684" s="23"/>
      <c r="BP684" s="23"/>
      <c r="BQ684" s="23"/>
      <c r="BR684" s="23"/>
      <c r="BS684" s="23"/>
      <c r="BT684" s="23"/>
      <c r="BU684" s="23"/>
      <c r="BV684" s="23"/>
      <c r="BW684" s="23"/>
      <c r="BX684" s="23"/>
      <c r="BY684" s="23"/>
      <c r="BZ684" s="23"/>
      <c r="CA684" s="23"/>
      <c r="CB684" s="23"/>
      <c r="CC684" s="23"/>
      <c r="CD684" s="23"/>
      <c r="CE684" s="23"/>
      <c r="CF684" s="23"/>
      <c r="CG684" s="23"/>
      <c r="CH684" s="27"/>
      <c r="CI684" s="27"/>
      <c r="CJ684" s="28"/>
      <c r="CK684" s="28"/>
      <c r="CL684" s="39"/>
    </row>
    <row r="685" spans="1:90" ht="17.45" customHeight="1" x14ac:dyDescent="0.25">
      <c r="A685" s="20"/>
      <c r="B685" s="31"/>
      <c r="C685" s="30"/>
      <c r="D685" s="29"/>
      <c r="E685" s="29"/>
      <c r="F685" s="29"/>
      <c r="G685" s="23"/>
      <c r="H685" s="23"/>
      <c r="I685" s="23"/>
      <c r="J685" s="23"/>
      <c r="K685" s="23"/>
      <c r="L685" s="23"/>
      <c r="M685" s="23"/>
      <c r="N685" s="23" t="s">
        <v>373</v>
      </c>
      <c r="O685" s="23"/>
      <c r="P685" s="23"/>
      <c r="Q685" s="23"/>
      <c r="R685" s="23"/>
      <c r="S685" s="23"/>
      <c r="T685" s="23" t="s">
        <v>374</v>
      </c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 t="str">
        <f>TEXT(X677,"#,##0.#######")</f>
        <v>30.</v>
      </c>
      <c r="AI685" s="23"/>
      <c r="AJ685" s="23"/>
      <c r="AK685" s="23"/>
      <c r="AL685" s="23"/>
      <c r="AM685" s="23"/>
      <c r="AN685" s="23" t="str">
        <f>TEXT(AO677,"#,##0.#######")</f>
        <v>35.</v>
      </c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  <c r="AY685" s="23"/>
      <c r="AZ685" s="23"/>
      <c r="BA685" s="23"/>
      <c r="BB685" s="23"/>
      <c r="BC685" s="23"/>
      <c r="BD685" s="23"/>
      <c r="BE685" s="23"/>
      <c r="BF685" s="23"/>
      <c r="BG685" s="23"/>
      <c r="BH685" s="23"/>
      <c r="BI685" s="23"/>
      <c r="BJ685" s="23"/>
      <c r="BK685" s="23"/>
      <c r="BL685" s="23"/>
      <c r="BM685" s="23"/>
      <c r="BN685" s="23"/>
      <c r="BO685" s="23"/>
      <c r="BP685" s="23"/>
      <c r="BQ685" s="23"/>
      <c r="BR685" s="23"/>
      <c r="BS685" s="23"/>
      <c r="BT685" s="23"/>
      <c r="BU685" s="23"/>
      <c r="BV685" s="23"/>
      <c r="BW685" s="23"/>
      <c r="BX685" s="23"/>
      <c r="BY685" s="23"/>
      <c r="BZ685" s="23"/>
      <c r="CA685" s="23"/>
      <c r="CB685" s="23"/>
      <c r="CC685" s="23"/>
      <c r="CD685" s="23"/>
      <c r="CE685" s="23"/>
      <c r="CF685" s="23"/>
      <c r="CG685" s="23"/>
      <c r="CH685" s="27"/>
      <c r="CI685" s="27"/>
      <c r="CJ685" s="28"/>
      <c r="CK685" s="28"/>
      <c r="CL685" s="39"/>
    </row>
    <row r="686" spans="1:90" ht="17.45" customHeight="1" x14ac:dyDescent="0.25">
      <c r="A686" s="20"/>
      <c r="B686" s="31"/>
      <c r="C686" s="30"/>
      <c r="D686" s="29"/>
      <c r="E686" s="29"/>
      <c r="F686" s="29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23"/>
      <c r="BC686" s="23"/>
      <c r="BD686" s="23"/>
      <c r="BE686" s="23"/>
      <c r="BF686" s="23"/>
      <c r="BG686" s="23"/>
      <c r="BH686" s="23"/>
      <c r="BI686" s="23"/>
      <c r="BJ686" s="23"/>
      <c r="BK686" s="23"/>
      <c r="BL686" s="23"/>
      <c r="BM686" s="23"/>
      <c r="BN686" s="23"/>
      <c r="BO686" s="23"/>
      <c r="BP686" s="23"/>
      <c r="BQ686" s="23"/>
      <c r="BR686" s="23"/>
      <c r="BS686" s="23"/>
      <c r="BT686" s="23"/>
      <c r="BU686" s="23"/>
      <c r="BV686" s="23"/>
      <c r="BW686" s="23"/>
      <c r="BX686" s="23"/>
      <c r="BY686" s="23"/>
      <c r="BZ686" s="23"/>
      <c r="CA686" s="23"/>
      <c r="CB686" s="23"/>
      <c r="CC686" s="23"/>
      <c r="CD686" s="23"/>
      <c r="CE686" s="23"/>
      <c r="CF686" s="23"/>
      <c r="CG686" s="23"/>
      <c r="CH686" s="27"/>
      <c r="CI686" s="27"/>
      <c r="CJ686" s="28"/>
      <c r="CK686" s="28"/>
      <c r="CL686" s="39"/>
    </row>
    <row r="687" spans="1:90" ht="17.45" customHeight="1" x14ac:dyDescent="0.25">
      <c r="A687" s="20"/>
      <c r="B687" s="31"/>
      <c r="C687" s="30"/>
      <c r="D687" s="29"/>
      <c r="E687" s="29"/>
      <c r="F687" s="29"/>
      <c r="G687" s="23" t="s">
        <v>108</v>
      </c>
      <c r="H687" s="23"/>
      <c r="I687" s="23"/>
      <c r="J687" s="23" t="s">
        <v>103</v>
      </c>
      <c r="K687" s="23"/>
      <c r="L687" s="23" t="s">
        <v>376</v>
      </c>
      <c r="M687" s="23"/>
      <c r="N687" s="23"/>
      <c r="O687" s="23" t="s">
        <v>97</v>
      </c>
      <c r="P687" s="23"/>
      <c r="Q687" s="23" t="s">
        <v>378</v>
      </c>
      <c r="R687" s="23"/>
      <c r="S687" s="23"/>
      <c r="T687" s="23" t="s">
        <v>97</v>
      </c>
      <c r="U687" s="23"/>
      <c r="V687" s="23" t="s">
        <v>377</v>
      </c>
      <c r="W687" s="23"/>
      <c r="X687" s="23"/>
      <c r="Y687" s="23"/>
      <c r="Z687" s="23" t="s">
        <v>103</v>
      </c>
      <c r="AA687" s="23"/>
      <c r="AB687" s="23" t="str">
        <f>TEXT(L681,"#,##0.#######")</f>
        <v>15.</v>
      </c>
      <c r="AC687" s="23"/>
      <c r="AD687" s="23"/>
      <c r="AE687" s="23" t="s">
        <v>97</v>
      </c>
      <c r="AF687" s="23"/>
      <c r="AG687" s="23" t="str">
        <f>TEXT(AY684,"#,##0.#######")</f>
        <v>7.43</v>
      </c>
      <c r="AH687" s="23"/>
      <c r="AI687" s="23"/>
      <c r="AJ687" s="23"/>
      <c r="AK687" s="23"/>
      <c r="AL687" s="23" t="s">
        <v>97</v>
      </c>
      <c r="AM687" s="23"/>
      <c r="AN687" s="23" t="str">
        <f>TEXT(Z681,"#,##0.#######")</f>
        <v>15.</v>
      </c>
      <c r="AO687" s="23"/>
      <c r="AP687" s="23"/>
      <c r="AQ687" s="23" t="s">
        <v>103</v>
      </c>
      <c r="AR687" s="23"/>
      <c r="AS687" s="23" t="str">
        <f>TEXT(ROUND(L681+AY684+Z681,2),"#,##0.#######")</f>
        <v>37.43</v>
      </c>
      <c r="AT687" s="23"/>
      <c r="AU687" s="23"/>
      <c r="AV687" s="23"/>
      <c r="AW687" s="23"/>
      <c r="AX687" s="23"/>
      <c r="AY687" s="23"/>
      <c r="AZ687" s="23"/>
      <c r="BA687" s="23"/>
      <c r="BB687" s="23"/>
      <c r="BC687" s="23"/>
      <c r="BD687" s="23"/>
      <c r="BE687" s="23"/>
      <c r="BF687" s="23"/>
      <c r="BG687" s="23"/>
      <c r="BH687" s="23"/>
      <c r="BI687" s="23"/>
      <c r="BJ687" s="23"/>
      <c r="BK687" s="23"/>
      <c r="BL687" s="23"/>
      <c r="BM687" s="23"/>
      <c r="BN687" s="23"/>
      <c r="BO687" s="23"/>
      <c r="BP687" s="23"/>
      <c r="BQ687" s="23"/>
      <c r="BR687" s="23"/>
      <c r="BS687" s="23"/>
      <c r="BT687" s="23"/>
      <c r="BU687" s="23"/>
      <c r="BV687" s="23"/>
      <c r="BW687" s="23"/>
      <c r="BX687" s="23"/>
      <c r="BY687" s="23"/>
      <c r="BZ687" s="23"/>
      <c r="CA687" s="23"/>
      <c r="CB687" s="23"/>
      <c r="CC687" s="23"/>
      <c r="CD687" s="23"/>
      <c r="CE687" s="23"/>
      <c r="CF687" s="23"/>
      <c r="CG687" s="23"/>
      <c r="CH687" s="27"/>
      <c r="CI687" s="27"/>
      <c r="CJ687" s="28"/>
      <c r="CK687" s="28"/>
      <c r="CL687" s="39"/>
    </row>
    <row r="688" spans="1:90" ht="17.45" customHeight="1" x14ac:dyDescent="0.25">
      <c r="A688" s="20"/>
      <c r="B688" s="31"/>
      <c r="C688" s="30"/>
      <c r="D688" s="29"/>
      <c r="E688" s="29"/>
      <c r="F688" s="29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23"/>
      <c r="BC688" s="23"/>
      <c r="BD688" s="23"/>
      <c r="BE688" s="23"/>
      <c r="BF688" s="23"/>
      <c r="BG688" s="23"/>
      <c r="BH688" s="23"/>
      <c r="BI688" s="23"/>
      <c r="BJ688" s="23"/>
      <c r="BK688" s="23"/>
      <c r="BL688" s="23"/>
      <c r="BM688" s="23"/>
      <c r="BN688" s="23"/>
      <c r="BO688" s="23"/>
      <c r="BP688" s="23"/>
      <c r="BQ688" s="23"/>
      <c r="BR688" s="23"/>
      <c r="BS688" s="23"/>
      <c r="BT688" s="23"/>
      <c r="BU688" s="23"/>
      <c r="BV688" s="23"/>
      <c r="BW688" s="23"/>
      <c r="BX688" s="23"/>
      <c r="BY688" s="23"/>
      <c r="BZ688" s="23"/>
      <c r="CA688" s="23"/>
      <c r="CB688" s="23"/>
      <c r="CC688" s="23"/>
      <c r="CD688" s="23"/>
      <c r="CE688" s="23"/>
      <c r="CF688" s="23"/>
      <c r="CG688" s="23"/>
      <c r="CH688" s="27"/>
      <c r="CI688" s="27"/>
      <c r="CJ688" s="28"/>
      <c r="CK688" s="28"/>
      <c r="CL688" s="39"/>
    </row>
    <row r="689" spans="1:90" ht="17.45" customHeight="1" x14ac:dyDescent="0.25">
      <c r="A689" s="20"/>
      <c r="B689" s="31"/>
      <c r="C689" s="30"/>
      <c r="D689" s="29"/>
      <c r="E689" s="29"/>
      <c r="F689" s="29"/>
      <c r="G689" s="23"/>
      <c r="H689" s="23"/>
      <c r="I689" s="23"/>
      <c r="J689" s="23"/>
      <c r="K689" s="23"/>
      <c r="L689" s="23" t="str">
        <f>TEXT(60,"#,##0.#######")</f>
        <v>60.</v>
      </c>
      <c r="M689" s="23"/>
      <c r="N689" s="23" t="s">
        <v>102</v>
      </c>
      <c r="O689" s="23"/>
      <c r="P689" s="23" t="s">
        <v>112</v>
      </c>
      <c r="Q689" s="23" t="s">
        <v>102</v>
      </c>
      <c r="R689" s="23"/>
      <c r="S689" s="23" t="s">
        <v>114</v>
      </c>
      <c r="T689" s="23" t="s">
        <v>102</v>
      </c>
      <c r="U689" s="23"/>
      <c r="V689" s="23" t="s">
        <v>107</v>
      </c>
      <c r="W689" s="23"/>
      <c r="X689" s="23"/>
      <c r="Y689" s="23"/>
      <c r="Z689" s="23"/>
      <c r="AA689" s="23"/>
      <c r="AB689" s="23"/>
      <c r="AC689" s="23" t="str">
        <f>TEXT(L689,"#,##0.#######")</f>
        <v>60.</v>
      </c>
      <c r="AD689" s="23"/>
      <c r="AE689" s="23" t="s">
        <v>102</v>
      </c>
      <c r="AF689" s="23"/>
      <c r="AG689" s="23" t="str">
        <f>TEXT(K679,"#,##0.#######")</f>
        <v>5.5</v>
      </c>
      <c r="AH689" s="23"/>
      <c r="AI689" s="23"/>
      <c r="AJ689" s="23" t="s">
        <v>102</v>
      </c>
      <c r="AK689" s="23"/>
      <c r="AL689" s="23" t="str">
        <f>TEXT(Y679,"#,##0.#######")</f>
        <v>1.</v>
      </c>
      <c r="AM689" s="23" t="s">
        <v>102</v>
      </c>
      <c r="AN689" s="23"/>
      <c r="AO689" s="23" t="str">
        <f>TEXT(AK679,"#,##0.#######")</f>
        <v>0.9</v>
      </c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23"/>
      <c r="BC689" s="23"/>
      <c r="BD689" s="23"/>
      <c r="BE689" s="23"/>
      <c r="BF689" s="23"/>
      <c r="BG689" s="23"/>
      <c r="BH689" s="23"/>
      <c r="BI689" s="23"/>
      <c r="BJ689" s="23"/>
      <c r="BK689" s="23"/>
      <c r="BL689" s="23"/>
      <c r="BM689" s="23"/>
      <c r="BN689" s="23"/>
      <c r="BO689" s="23"/>
      <c r="BP689" s="23"/>
      <c r="BQ689" s="23"/>
      <c r="BR689" s="23"/>
      <c r="BS689" s="23"/>
      <c r="BT689" s="23"/>
      <c r="BU689" s="23"/>
      <c r="BV689" s="23"/>
      <c r="BW689" s="23"/>
      <c r="BX689" s="23"/>
      <c r="BY689" s="23"/>
      <c r="BZ689" s="23"/>
      <c r="CA689" s="23"/>
      <c r="CB689" s="23"/>
      <c r="CC689" s="23"/>
      <c r="CD689" s="23"/>
      <c r="CE689" s="23"/>
      <c r="CF689" s="23"/>
      <c r="CG689" s="23"/>
      <c r="CH689" s="27"/>
      <c r="CI689" s="27"/>
      <c r="CJ689" s="28"/>
      <c r="CK689" s="28"/>
      <c r="CL689" s="39"/>
    </row>
    <row r="690" spans="1:90" ht="17.45" customHeight="1" x14ac:dyDescent="0.25">
      <c r="A690" s="20"/>
      <c r="B690" s="31"/>
      <c r="C690" s="30"/>
      <c r="D690" s="29"/>
      <c r="E690" s="29"/>
      <c r="F690" s="29"/>
      <c r="G690" s="23" t="s">
        <v>115</v>
      </c>
      <c r="H690" s="23"/>
      <c r="I690" s="23" t="s">
        <v>103</v>
      </c>
      <c r="J690" s="23"/>
      <c r="K690" s="23" t="s">
        <v>116</v>
      </c>
      <c r="L690" s="23"/>
      <c r="M690" s="23" t="s">
        <v>116</v>
      </c>
      <c r="N690" s="23"/>
      <c r="O690" s="23" t="s">
        <v>116</v>
      </c>
      <c r="P690" s="23"/>
      <c r="Q690" s="23" t="s">
        <v>116</v>
      </c>
      <c r="R690" s="23"/>
      <c r="S690" s="23" t="s">
        <v>116</v>
      </c>
      <c r="T690" s="23"/>
      <c r="U690" s="23" t="s">
        <v>116</v>
      </c>
      <c r="V690" s="23"/>
      <c r="W690" s="23" t="s">
        <v>116</v>
      </c>
      <c r="X690" s="23"/>
      <c r="Y690" s="23"/>
      <c r="Z690" s="23"/>
      <c r="AA690" s="23" t="s">
        <v>103</v>
      </c>
      <c r="AB690" s="23"/>
      <c r="AC690" s="23" t="s">
        <v>116</v>
      </c>
      <c r="AD690" s="23"/>
      <c r="AE690" s="23" t="s">
        <v>116</v>
      </c>
      <c r="AF690" s="23"/>
      <c r="AG690" s="23" t="s">
        <v>116</v>
      </c>
      <c r="AH690" s="23"/>
      <c r="AI690" s="23" t="s">
        <v>116</v>
      </c>
      <c r="AJ690" s="23"/>
      <c r="AK690" s="23" t="s">
        <v>116</v>
      </c>
      <c r="AL690" s="23"/>
      <c r="AM690" s="23" t="s">
        <v>116</v>
      </c>
      <c r="AN690" s="23"/>
      <c r="AO690" s="23" t="s">
        <v>116</v>
      </c>
      <c r="AP690" s="23"/>
      <c r="AQ690" s="23" t="s">
        <v>116</v>
      </c>
      <c r="AR690" s="23"/>
      <c r="AS690" s="23"/>
      <c r="AT690" s="23" t="s">
        <v>103</v>
      </c>
      <c r="AU690" s="23"/>
      <c r="AV690" s="23" t="str">
        <f>TEXT(ROUND((60*K679*Y679*AK679)/(AS687),2),"#,##0.#######")</f>
        <v>7.93</v>
      </c>
      <c r="AW690" s="23"/>
      <c r="AX690" s="23"/>
      <c r="AY690" s="23"/>
      <c r="AZ690" s="23"/>
      <c r="BA690" s="23"/>
      <c r="BB690" s="23"/>
      <c r="BC690" s="23" t="s">
        <v>117</v>
      </c>
      <c r="BD690" s="23"/>
      <c r="BE690" s="23" t="s">
        <v>118</v>
      </c>
      <c r="BF690" s="23" t="s">
        <v>119</v>
      </c>
      <c r="BG690" s="23"/>
      <c r="BH690" s="23"/>
      <c r="BI690" s="23"/>
      <c r="BJ690" s="23"/>
      <c r="BK690" s="23"/>
      <c r="BL690" s="23"/>
      <c r="BM690" s="23"/>
      <c r="BN690" s="23"/>
      <c r="BO690" s="23"/>
      <c r="BP690" s="23"/>
      <c r="BQ690" s="23"/>
      <c r="BR690" s="23"/>
      <c r="BS690" s="23"/>
      <c r="BT690" s="23"/>
      <c r="BU690" s="23"/>
      <c r="BV690" s="23"/>
      <c r="BW690" s="23"/>
      <c r="BX690" s="23"/>
      <c r="BY690" s="23"/>
      <c r="BZ690" s="23"/>
      <c r="CA690" s="23"/>
      <c r="CB690" s="23"/>
      <c r="CC690" s="23"/>
      <c r="CD690" s="23"/>
      <c r="CE690" s="23"/>
      <c r="CF690" s="23"/>
      <c r="CG690" s="23"/>
      <c r="CH690" s="27"/>
      <c r="CI690" s="27"/>
      <c r="CJ690" s="28"/>
      <c r="CK690" s="28"/>
      <c r="CL690" s="39"/>
    </row>
    <row r="691" spans="1:90" ht="17.45" customHeight="1" x14ac:dyDescent="0.25">
      <c r="A691" s="20"/>
      <c r="B691" s="31"/>
      <c r="C691" s="30"/>
      <c r="D691" s="29"/>
      <c r="E691" s="29"/>
      <c r="F691" s="29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 t="s">
        <v>108</v>
      </c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 t="str">
        <f>TEXT(AS687,"#,##0.#######")</f>
        <v>37.43</v>
      </c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  <c r="AW691" s="23"/>
      <c r="AX691" s="23"/>
      <c r="AY691" s="23"/>
      <c r="AZ691" s="23"/>
      <c r="BA691" s="23"/>
      <c r="BB691" s="23"/>
      <c r="BC691" s="23"/>
      <c r="BD691" s="23"/>
      <c r="BE691" s="23"/>
      <c r="BF691" s="23"/>
      <c r="BG691" s="23"/>
      <c r="BH691" s="23"/>
      <c r="BI691" s="23"/>
      <c r="BJ691" s="23"/>
      <c r="BK691" s="23"/>
      <c r="BL691" s="23"/>
      <c r="BM691" s="23"/>
      <c r="BN691" s="23"/>
      <c r="BO691" s="23"/>
      <c r="BP691" s="23"/>
      <c r="BQ691" s="23"/>
      <c r="BR691" s="23"/>
      <c r="BS691" s="23"/>
      <c r="BT691" s="23"/>
      <c r="BU691" s="23"/>
      <c r="BV691" s="23"/>
      <c r="BW691" s="23"/>
      <c r="BX691" s="23"/>
      <c r="BY691" s="23"/>
      <c r="BZ691" s="23"/>
      <c r="CA691" s="23"/>
      <c r="CB691" s="23"/>
      <c r="CC691" s="23"/>
      <c r="CD691" s="23"/>
      <c r="CE691" s="23"/>
      <c r="CF691" s="23"/>
      <c r="CG691" s="23"/>
      <c r="CH691" s="27"/>
      <c r="CI691" s="27"/>
      <c r="CJ691" s="28"/>
      <c r="CK691" s="28"/>
      <c r="CL691" s="39"/>
    </row>
    <row r="692" spans="1:90" ht="17.45" customHeight="1" x14ac:dyDescent="0.2">
      <c r="A692" s="20"/>
      <c r="B692" s="31"/>
      <c r="C692" s="30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  <c r="AW692" s="23"/>
      <c r="AX692" s="23"/>
      <c r="AY692" s="23"/>
      <c r="AZ692" s="23"/>
      <c r="BA692" s="23"/>
      <c r="BB692" s="23"/>
      <c r="BC692" s="23"/>
      <c r="BD692" s="23"/>
      <c r="BE692" s="23"/>
      <c r="BF692" s="23"/>
      <c r="BG692" s="23"/>
      <c r="BH692" s="23"/>
      <c r="BI692" s="23"/>
      <c r="BJ692" s="23"/>
      <c r="BK692" s="23"/>
      <c r="BL692" s="23"/>
      <c r="BM692" s="23"/>
      <c r="BN692" s="23"/>
      <c r="BO692" s="23"/>
      <c r="BP692" s="23"/>
      <c r="BQ692" s="23"/>
      <c r="BR692" s="23"/>
      <c r="BS692" s="23"/>
      <c r="BT692" s="23"/>
      <c r="BU692" s="23"/>
      <c r="BV692" s="23"/>
      <c r="BW692" s="23"/>
      <c r="BX692" s="23"/>
      <c r="BY692" s="23"/>
      <c r="BZ692" s="23"/>
      <c r="CA692" s="23"/>
      <c r="CB692" s="23"/>
      <c r="CC692" s="23"/>
      <c r="CD692" s="23"/>
      <c r="CE692" s="23"/>
      <c r="CF692" s="23"/>
      <c r="CG692" s="23"/>
      <c r="CH692" s="27"/>
      <c r="CI692" s="27"/>
      <c r="CJ692" s="28"/>
      <c r="CK692" s="28"/>
      <c r="CL692" s="39"/>
    </row>
    <row r="693" spans="1:90" ht="17.45" customHeight="1" x14ac:dyDescent="0.2">
      <c r="A693" s="20"/>
      <c r="B693" s="31"/>
      <c r="C693" s="30"/>
      <c r="D693" s="86"/>
      <c r="E693" s="86"/>
      <c r="F693" s="86"/>
      <c r="G693" s="23" t="s">
        <v>120</v>
      </c>
      <c r="H693" s="23"/>
      <c r="I693" s="23"/>
      <c r="J693" s="23"/>
      <c r="K693" s="23"/>
      <c r="L693" s="23"/>
      <c r="M693" s="23"/>
      <c r="N693" s="23" t="s">
        <v>121</v>
      </c>
      <c r="O693" s="23"/>
      <c r="P693" s="23" t="str">
        <f>TEXT([1]기계경비총괄표!G68,"#,##0.#######")</f>
        <v>36,713.</v>
      </c>
      <c r="Q693" s="23"/>
      <c r="R693" s="23"/>
      <c r="S693" s="23"/>
      <c r="T693" s="23"/>
      <c r="U693" s="23"/>
      <c r="V693" s="23"/>
      <c r="W693" s="23"/>
      <c r="X693" s="23"/>
      <c r="Y693" s="23" t="s">
        <v>122</v>
      </c>
      <c r="Z693" s="23"/>
      <c r="AA693" s="23"/>
      <c r="AB693" s="23" t="str">
        <f>TEXT($AV$690,"#,##0.#######")</f>
        <v>7.93</v>
      </c>
      <c r="AC693" s="23"/>
      <c r="AD693" s="23"/>
      <c r="AE693" s="23"/>
      <c r="AF693" s="23"/>
      <c r="AG693" s="23" t="s">
        <v>103</v>
      </c>
      <c r="AH693" s="23"/>
      <c r="AI693" s="23" t="str">
        <f>TEXT(TRUNC(P693/AB693,1),"#,##0.#")</f>
        <v>4,629.6</v>
      </c>
      <c r="AJ693" s="23"/>
      <c r="AK693" s="23"/>
      <c r="AL693" s="23"/>
      <c r="AM693" s="23"/>
      <c r="AN693" s="86"/>
      <c r="AO693" s="86"/>
      <c r="AP693" s="86"/>
      <c r="AQ693" s="86"/>
      <c r="AR693" s="86"/>
      <c r="AS693" s="86"/>
      <c r="AT693" s="86"/>
      <c r="AU693" s="86"/>
      <c r="AV693" s="86"/>
      <c r="AW693" s="86"/>
      <c r="AX693" s="86"/>
      <c r="AY693" s="86"/>
      <c r="AZ693" s="86"/>
      <c r="BA693" s="86"/>
      <c r="BB693" s="86"/>
      <c r="BC693" s="86"/>
      <c r="BD693" s="86"/>
      <c r="BE693" s="86"/>
      <c r="BF693" s="86"/>
      <c r="BG693" s="86"/>
      <c r="BH693" s="86"/>
      <c r="BI693" s="86"/>
      <c r="BJ693" s="86"/>
      <c r="BK693" s="86"/>
      <c r="BL693" s="86"/>
      <c r="BM693" s="86"/>
      <c r="BN693" s="86"/>
      <c r="BO693" s="86"/>
      <c r="BP693" s="86"/>
      <c r="BQ693" s="23"/>
      <c r="BR693" s="23"/>
      <c r="BS693" s="23"/>
      <c r="BT693" s="23"/>
      <c r="BU693" s="23"/>
      <c r="BV693" s="23"/>
      <c r="BW693" s="23"/>
      <c r="BX693" s="23"/>
      <c r="BY693" s="23"/>
      <c r="BZ693" s="23"/>
      <c r="CA693" s="23"/>
      <c r="CB693" s="23"/>
      <c r="CC693" s="23"/>
      <c r="CD693" s="23"/>
      <c r="CE693" s="23"/>
      <c r="CF693" s="23"/>
      <c r="CG693" s="23"/>
      <c r="CH693" s="27"/>
      <c r="CI693" s="27"/>
      <c r="CJ693" s="28"/>
      <c r="CK693" s="28"/>
      <c r="CL693" s="39"/>
    </row>
    <row r="694" spans="1:90" ht="17.45" customHeight="1" x14ac:dyDescent="0.25">
      <c r="A694" s="20"/>
      <c r="B694" s="31"/>
      <c r="C694" s="30"/>
      <c r="D694" s="23"/>
      <c r="E694" s="23"/>
      <c r="F694" s="23"/>
      <c r="G694" s="23" t="s">
        <v>123</v>
      </c>
      <c r="H694" s="23"/>
      <c r="I694" s="23"/>
      <c r="J694" s="23"/>
      <c r="K694" s="23"/>
      <c r="L694" s="23"/>
      <c r="M694" s="23"/>
      <c r="N694" s="23" t="s">
        <v>121</v>
      </c>
      <c r="O694" s="23"/>
      <c r="P694" s="23" t="str">
        <f>TEXT([1]기계경비총괄표!F68,"#,##0.#######")</f>
        <v>15,027.</v>
      </c>
      <c r="Q694" s="23"/>
      <c r="R694" s="23"/>
      <c r="S694" s="23"/>
      <c r="T694" s="23"/>
      <c r="U694" s="23"/>
      <c r="V694" s="23"/>
      <c r="W694" s="23"/>
      <c r="X694" s="23"/>
      <c r="Y694" s="23" t="s">
        <v>122</v>
      </c>
      <c r="Z694" s="23"/>
      <c r="AA694" s="23"/>
      <c r="AB694" s="23" t="str">
        <f>TEXT($AV$690,"#,##0.#######")</f>
        <v>7.93</v>
      </c>
      <c r="AC694" s="23"/>
      <c r="AD694" s="23"/>
      <c r="AE694" s="23"/>
      <c r="AF694" s="23"/>
      <c r="AG694" s="23" t="s">
        <v>103</v>
      </c>
      <c r="AH694" s="23"/>
      <c r="AI694" s="23" t="str">
        <f>TEXT(TRUNC(P694/AB694,1),"#,##0.#")</f>
        <v>1,894.9</v>
      </c>
      <c r="AJ694" s="23"/>
      <c r="AK694" s="23"/>
      <c r="AL694" s="23"/>
      <c r="AM694" s="23"/>
      <c r="AN694" s="29"/>
      <c r="AO694" s="29"/>
      <c r="AP694" s="29"/>
      <c r="AQ694" s="29"/>
      <c r="AR694" s="29"/>
      <c r="AS694" s="29"/>
      <c r="AT694" s="29"/>
      <c r="AU694" s="29"/>
      <c r="AV694" s="29"/>
      <c r="AW694" s="29"/>
      <c r="AX694" s="29"/>
      <c r="AY694" s="29"/>
      <c r="AZ694" s="29"/>
      <c r="BA694" s="29"/>
      <c r="BB694" s="29"/>
      <c r="BC694" s="29"/>
      <c r="BD694" s="29"/>
      <c r="BE694" s="29"/>
      <c r="BF694" s="29"/>
      <c r="BG694" s="29"/>
      <c r="BH694" s="29"/>
      <c r="BI694" s="29"/>
      <c r="BJ694" s="29"/>
      <c r="BK694" s="29"/>
      <c r="BL694" s="29"/>
      <c r="BM694" s="29"/>
      <c r="BN694" s="29"/>
      <c r="BO694" s="29"/>
      <c r="BP694" s="29"/>
      <c r="BQ694" s="29"/>
      <c r="BR694" s="23"/>
      <c r="BS694" s="23"/>
      <c r="BT694" s="23"/>
      <c r="BU694" s="23"/>
      <c r="BV694" s="23"/>
      <c r="BW694" s="23"/>
      <c r="BX694" s="23"/>
      <c r="BY694" s="23"/>
      <c r="BZ694" s="23"/>
      <c r="CA694" s="23"/>
      <c r="CB694" s="23"/>
      <c r="CC694" s="23"/>
      <c r="CD694" s="23"/>
      <c r="CE694" s="23"/>
      <c r="CF694" s="23"/>
      <c r="CG694" s="23"/>
      <c r="CH694" s="27"/>
      <c r="CI694" s="27"/>
      <c r="CJ694" s="28"/>
      <c r="CK694" s="28"/>
      <c r="CL694" s="39"/>
    </row>
    <row r="695" spans="1:90" ht="17.45" customHeight="1" x14ac:dyDescent="0.25">
      <c r="A695" s="20"/>
      <c r="B695" s="31"/>
      <c r="C695" s="30"/>
      <c r="D695" s="23"/>
      <c r="E695" s="23"/>
      <c r="F695" s="23"/>
      <c r="G695" s="23" t="s">
        <v>124</v>
      </c>
      <c r="H695" s="23"/>
      <c r="I695" s="23"/>
      <c r="J695" s="23"/>
      <c r="K695" s="23" t="s">
        <v>125</v>
      </c>
      <c r="L695" s="23"/>
      <c r="M695" s="23"/>
      <c r="N695" s="23" t="s">
        <v>121</v>
      </c>
      <c r="O695" s="23"/>
      <c r="P695" s="23" t="str">
        <f>TEXT([1]기계경비총괄표!H68,"#,##0.#######")</f>
        <v>8,821.</v>
      </c>
      <c r="Q695" s="23"/>
      <c r="R695" s="23"/>
      <c r="S695" s="23"/>
      <c r="T695" s="23"/>
      <c r="U695" s="23"/>
      <c r="V695" s="23"/>
      <c r="W695" s="23"/>
      <c r="X695" s="23"/>
      <c r="Y695" s="23" t="s">
        <v>122</v>
      </c>
      <c r="Z695" s="23"/>
      <c r="AA695" s="23"/>
      <c r="AB695" s="23" t="str">
        <f>TEXT($AV$690,"#,##0.#######")</f>
        <v>7.93</v>
      </c>
      <c r="AC695" s="23"/>
      <c r="AD695" s="23"/>
      <c r="AE695" s="23"/>
      <c r="AF695" s="23"/>
      <c r="AG695" s="23" t="s">
        <v>103</v>
      </c>
      <c r="AH695" s="23"/>
      <c r="AI695" s="23" t="str">
        <f>TEXT(TRUNC(P695/AB695,1),"#,##0.#")</f>
        <v>1,112.3</v>
      </c>
      <c r="AJ695" s="23"/>
      <c r="AK695" s="23"/>
      <c r="AL695" s="23"/>
      <c r="AM695" s="23"/>
      <c r="AN695" s="29"/>
      <c r="AO695" s="29"/>
      <c r="AP695" s="29"/>
      <c r="AQ695" s="29"/>
      <c r="AR695" s="29"/>
      <c r="AS695" s="29"/>
      <c r="AT695" s="29"/>
      <c r="AU695" s="29"/>
      <c r="AV695" s="29"/>
      <c r="AW695" s="29"/>
      <c r="AX695" s="29"/>
      <c r="AY695" s="29"/>
      <c r="AZ695" s="29"/>
      <c r="BA695" s="29"/>
      <c r="BB695" s="29"/>
      <c r="BC695" s="29"/>
      <c r="BD695" s="29"/>
      <c r="BE695" s="29"/>
      <c r="BF695" s="29"/>
      <c r="BG695" s="29"/>
      <c r="BH695" s="29"/>
      <c r="BI695" s="29"/>
      <c r="BJ695" s="29"/>
      <c r="BK695" s="29"/>
      <c r="BL695" s="29"/>
      <c r="BM695" s="29"/>
      <c r="BN695" s="29"/>
      <c r="BO695" s="29"/>
      <c r="BP695" s="29"/>
      <c r="BQ695" s="29"/>
      <c r="BR695" s="23"/>
      <c r="BS695" s="23"/>
      <c r="BT695" s="23"/>
      <c r="BU695" s="23"/>
      <c r="BV695" s="23"/>
      <c r="BW695" s="23"/>
      <c r="BX695" s="23"/>
      <c r="BY695" s="23"/>
      <c r="BZ695" s="23"/>
      <c r="CA695" s="23"/>
      <c r="CB695" s="23"/>
      <c r="CC695" s="23"/>
      <c r="CD695" s="23"/>
      <c r="CE695" s="23"/>
      <c r="CF695" s="23"/>
      <c r="CG695" s="23"/>
      <c r="CH695" s="27"/>
      <c r="CI695" s="27"/>
      <c r="CJ695" s="28"/>
      <c r="CK695" s="28"/>
      <c r="CL695" s="39"/>
    </row>
    <row r="696" spans="1:90" ht="17.45" customHeight="1" x14ac:dyDescent="0.25">
      <c r="A696" s="20"/>
      <c r="B696" s="31"/>
      <c r="C696" s="30"/>
      <c r="D696" s="23"/>
      <c r="E696" s="23"/>
      <c r="F696" s="23"/>
      <c r="G696" s="23" t="s">
        <v>126</v>
      </c>
      <c r="H696" s="23"/>
      <c r="I696" s="23"/>
      <c r="J696" s="23"/>
      <c r="K696" s="23" t="s">
        <v>127</v>
      </c>
      <c r="L696" s="23"/>
      <c r="M696" s="23"/>
      <c r="N696" s="23" t="s">
        <v>121</v>
      </c>
      <c r="O696" s="23"/>
      <c r="P696" s="23" t="str">
        <f>TEXT(AI693+AI694+AI695,"#,##0.#######")</f>
        <v>7,636.8</v>
      </c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9"/>
      <c r="AO696" s="29"/>
      <c r="AP696" s="29"/>
      <c r="AQ696" s="29"/>
      <c r="AR696" s="29"/>
      <c r="AS696" s="29"/>
      <c r="AT696" s="29"/>
      <c r="AU696" s="29"/>
      <c r="AV696" s="29"/>
      <c r="AW696" s="29"/>
      <c r="AX696" s="29"/>
      <c r="AY696" s="29"/>
      <c r="AZ696" s="29"/>
      <c r="BA696" s="29"/>
      <c r="BB696" s="29"/>
      <c r="BC696" s="29"/>
      <c r="BD696" s="29"/>
      <c r="BE696" s="29"/>
      <c r="BF696" s="29"/>
      <c r="BG696" s="29"/>
      <c r="BH696" s="29"/>
      <c r="BI696" s="29"/>
      <c r="BJ696" s="29"/>
      <c r="BK696" s="29"/>
      <c r="BL696" s="29"/>
      <c r="BM696" s="29"/>
      <c r="BN696" s="29"/>
      <c r="BO696" s="29"/>
      <c r="BP696" s="29"/>
      <c r="BQ696" s="29"/>
      <c r="BR696" s="23"/>
      <c r="BS696" s="23"/>
      <c r="BT696" s="23"/>
      <c r="BU696" s="23"/>
      <c r="BV696" s="23"/>
      <c r="BW696" s="23"/>
      <c r="BX696" s="23"/>
      <c r="BY696" s="23"/>
      <c r="BZ696" s="23"/>
      <c r="CA696" s="23"/>
      <c r="CB696" s="23"/>
      <c r="CC696" s="23"/>
      <c r="CD696" s="23"/>
      <c r="CE696" s="23"/>
      <c r="CF696" s="23"/>
      <c r="CG696" s="23"/>
      <c r="CH696" s="27">
        <f>CI696+CJ696+CK696</f>
        <v>7636.8</v>
      </c>
      <c r="CI696" s="27" t="str">
        <f>AI693</f>
        <v>4,629.6</v>
      </c>
      <c r="CJ696" s="28" t="str">
        <f>AI694</f>
        <v>1,894.9</v>
      </c>
      <c r="CK696" s="28" t="str">
        <f>AI695</f>
        <v>1,112.3</v>
      </c>
      <c r="CL696" s="39"/>
    </row>
    <row r="697" spans="1:90" ht="17.45" customHeight="1" x14ac:dyDescent="0.25">
      <c r="A697" s="20"/>
      <c r="B697" s="31"/>
      <c r="C697" s="30"/>
      <c r="D697" s="23"/>
      <c r="E697" s="23"/>
      <c r="F697" s="23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  <c r="AQ697" s="29"/>
      <c r="AR697" s="29"/>
      <c r="AS697" s="29"/>
      <c r="AT697" s="29"/>
      <c r="AU697" s="29"/>
      <c r="AV697" s="29"/>
      <c r="AW697" s="29"/>
      <c r="AX697" s="29"/>
      <c r="AY697" s="29"/>
      <c r="AZ697" s="29"/>
      <c r="BA697" s="29"/>
      <c r="BB697" s="29"/>
      <c r="BC697" s="29"/>
      <c r="BD697" s="29"/>
      <c r="BE697" s="29"/>
      <c r="BF697" s="29"/>
      <c r="BG697" s="29"/>
      <c r="BH697" s="29"/>
      <c r="BI697" s="29"/>
      <c r="BJ697" s="29"/>
      <c r="BK697" s="29"/>
      <c r="BL697" s="29"/>
      <c r="BM697" s="29"/>
      <c r="BN697" s="29"/>
      <c r="BO697" s="29"/>
      <c r="BP697" s="29"/>
      <c r="BQ697" s="29"/>
      <c r="BR697" s="23"/>
      <c r="BS697" s="23"/>
      <c r="BT697" s="23"/>
      <c r="BU697" s="23"/>
      <c r="BV697" s="23"/>
      <c r="BW697" s="23"/>
      <c r="BX697" s="23"/>
      <c r="BY697" s="23"/>
      <c r="BZ697" s="23"/>
      <c r="CA697" s="23"/>
      <c r="CB697" s="23"/>
      <c r="CC697" s="23"/>
      <c r="CD697" s="23"/>
      <c r="CE697" s="23"/>
      <c r="CF697" s="23"/>
      <c r="CG697" s="23"/>
      <c r="CH697" s="27"/>
      <c r="CI697" s="27"/>
      <c r="CJ697" s="28"/>
      <c r="CK697" s="28"/>
      <c r="CL697" s="39"/>
    </row>
    <row r="698" spans="1:90" ht="17.45" customHeight="1" x14ac:dyDescent="0.2">
      <c r="A698" s="20"/>
      <c r="B698" s="46" t="s">
        <v>379</v>
      </c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  <c r="AA698" s="47"/>
      <c r="AB698" s="47"/>
      <c r="AC698" s="47"/>
      <c r="AD698" s="47"/>
      <c r="AE698" s="47"/>
      <c r="AF698" s="47"/>
      <c r="AG698" s="47"/>
      <c r="AH698" s="47"/>
      <c r="AI698" s="47"/>
      <c r="AJ698" s="47"/>
      <c r="AK698" s="47"/>
      <c r="AL698" s="47"/>
      <c r="AM698" s="47"/>
      <c r="AN698" s="47"/>
      <c r="AO698" s="47"/>
      <c r="AP698" s="47"/>
      <c r="AQ698" s="47"/>
      <c r="AR698" s="47"/>
      <c r="AS698" s="47"/>
      <c r="AT698" s="47"/>
      <c r="AU698" s="47"/>
      <c r="AV698" s="47"/>
      <c r="AW698" s="47"/>
      <c r="AX698" s="47"/>
      <c r="AY698" s="47"/>
      <c r="AZ698" s="47"/>
      <c r="BA698" s="47"/>
      <c r="BB698" s="47"/>
      <c r="BC698" s="47"/>
      <c r="BD698" s="47"/>
      <c r="BE698" s="47"/>
      <c r="BF698" s="47"/>
      <c r="BG698" s="47"/>
      <c r="BH698" s="47"/>
      <c r="BI698" s="47"/>
      <c r="BJ698" s="47"/>
      <c r="BK698" s="47"/>
      <c r="BL698" s="47"/>
      <c r="BM698" s="47"/>
      <c r="BN698" s="47"/>
      <c r="BO698" s="47"/>
      <c r="BP698" s="47"/>
      <c r="BQ698" s="47"/>
      <c r="BR698" s="47"/>
      <c r="BS698" s="47"/>
      <c r="BT698" s="47"/>
      <c r="BU698" s="47"/>
      <c r="BV698" s="47"/>
      <c r="BW698" s="47"/>
      <c r="BX698" s="47"/>
      <c r="BY698" s="47"/>
      <c r="BZ698" s="47"/>
      <c r="CA698" s="47"/>
      <c r="CB698" s="47"/>
      <c r="CC698" s="47"/>
      <c r="CD698" s="47"/>
      <c r="CE698" s="47"/>
      <c r="CF698" s="47"/>
      <c r="CG698" s="47"/>
      <c r="CH698" s="65">
        <f>TRUNC(CI698+CJ698+CK698,0)</f>
        <v>14630</v>
      </c>
      <c r="CI698" s="65">
        <f>TRUNC(CI706+CI707+CI716+CI717,0)</f>
        <v>12444</v>
      </c>
      <c r="CJ698" s="66">
        <f>TRUNC(CJ701+CJ702+CJ703+CJ711+CJ712+CJ713,0)</f>
        <v>2186</v>
      </c>
      <c r="CK698" s="66">
        <f>TRUNC(0)</f>
        <v>0</v>
      </c>
      <c r="CL698" s="97" t="s">
        <v>380</v>
      </c>
    </row>
    <row r="699" spans="1:90" ht="17.45" customHeight="1" x14ac:dyDescent="0.25">
      <c r="A699" s="20"/>
      <c r="B699" s="31"/>
      <c r="C699" s="29"/>
      <c r="D699" s="23" t="s">
        <v>381</v>
      </c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  <c r="AQ699" s="29"/>
      <c r="AR699" s="29"/>
      <c r="AS699" s="29"/>
      <c r="AT699" s="29"/>
      <c r="AU699" s="29"/>
      <c r="AV699" s="29"/>
      <c r="AW699" s="29"/>
      <c r="AX699" s="29"/>
      <c r="AY699" s="29"/>
      <c r="AZ699" s="29"/>
      <c r="BA699" s="29"/>
      <c r="BB699" s="29"/>
      <c r="BC699" s="29"/>
      <c r="BD699" s="29"/>
      <c r="BE699" s="29"/>
      <c r="BF699" s="29"/>
      <c r="BG699" s="29"/>
      <c r="BH699" s="29"/>
      <c r="BI699" s="29"/>
      <c r="BJ699" s="29"/>
      <c r="BK699" s="29"/>
      <c r="BL699" s="29"/>
      <c r="BM699" s="29"/>
      <c r="BN699" s="29"/>
      <c r="BO699" s="29"/>
      <c r="BP699" s="29"/>
      <c r="BQ699" s="29"/>
      <c r="BR699" s="29"/>
      <c r="BS699" s="29"/>
      <c r="BT699" s="29"/>
      <c r="BU699" s="29"/>
      <c r="BV699" s="29"/>
      <c r="BW699" s="29"/>
      <c r="BX699" s="29"/>
      <c r="BY699" s="29"/>
      <c r="BZ699" s="29"/>
      <c r="CA699" s="29"/>
      <c r="CB699" s="29"/>
      <c r="CC699" s="29"/>
      <c r="CD699" s="29"/>
      <c r="CE699" s="29"/>
      <c r="CF699" s="29"/>
      <c r="CG699" s="29"/>
      <c r="CH699" s="36"/>
      <c r="CI699" s="36"/>
      <c r="CJ699" s="36"/>
      <c r="CK699" s="36"/>
      <c r="CL699" s="39" t="s">
        <v>382</v>
      </c>
    </row>
    <row r="700" spans="1:90" ht="17.45" customHeight="1" x14ac:dyDescent="0.2">
      <c r="A700" s="20"/>
      <c r="B700" s="31"/>
      <c r="C700" s="30"/>
      <c r="D700" s="23" t="s">
        <v>94</v>
      </c>
      <c r="E700" s="23"/>
      <c r="F700" s="23"/>
      <c r="G700" s="23" t="s">
        <v>123</v>
      </c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  <c r="AW700" s="23"/>
      <c r="AX700" s="23"/>
      <c r="AY700" s="23"/>
      <c r="AZ700" s="23"/>
      <c r="BA700" s="23"/>
      <c r="BB700" s="23"/>
      <c r="BC700" s="23"/>
      <c r="BD700" s="23"/>
      <c r="BE700" s="23"/>
      <c r="BF700" s="23"/>
      <c r="BG700" s="23"/>
      <c r="BH700" s="23"/>
      <c r="BI700" s="23"/>
      <c r="BJ700" s="23"/>
      <c r="BK700" s="23"/>
      <c r="BL700" s="23"/>
      <c r="BM700" s="23"/>
      <c r="BN700" s="23"/>
      <c r="BO700" s="23"/>
      <c r="BP700" s="23"/>
      <c r="BQ700" s="23"/>
      <c r="BR700" s="23"/>
      <c r="BS700" s="23"/>
      <c r="BT700" s="23"/>
      <c r="BU700" s="23"/>
      <c r="BV700" s="23"/>
      <c r="BW700" s="23"/>
      <c r="BX700" s="23"/>
      <c r="BY700" s="23"/>
      <c r="BZ700" s="23"/>
      <c r="CA700" s="23"/>
      <c r="CB700" s="23"/>
      <c r="CC700" s="23"/>
      <c r="CD700" s="23"/>
      <c r="CE700" s="23"/>
      <c r="CF700" s="23"/>
      <c r="CG700" s="23"/>
      <c r="CH700" s="27"/>
      <c r="CI700" s="27"/>
      <c r="CJ700" s="27"/>
      <c r="CK700" s="28"/>
      <c r="CL700" s="39"/>
    </row>
    <row r="701" spans="1:90" ht="17.45" customHeight="1" x14ac:dyDescent="0.25">
      <c r="A701" s="20"/>
      <c r="B701" s="31"/>
      <c r="C701" s="30"/>
      <c r="D701" s="23"/>
      <c r="E701" s="23"/>
      <c r="F701" s="23"/>
      <c r="G701" s="23" t="s">
        <v>383</v>
      </c>
      <c r="H701" s="23"/>
      <c r="I701" s="23"/>
      <c r="J701" s="23"/>
      <c r="K701" s="23"/>
      <c r="L701" s="23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3" t="s">
        <v>121</v>
      </c>
      <c r="X701" s="29"/>
      <c r="Y701" s="29"/>
      <c r="Z701" s="23" t="str">
        <f>TEXT([1]자재단가!M99,"#,##0.#######")</f>
        <v>8,505.</v>
      </c>
      <c r="AA701" s="23"/>
      <c r="AB701" s="23"/>
      <c r="AC701" s="23"/>
      <c r="AD701" s="23"/>
      <c r="AE701" s="23"/>
      <c r="AF701" s="23" t="s">
        <v>102</v>
      </c>
      <c r="AG701" s="23"/>
      <c r="AH701" s="23"/>
      <c r="AI701" s="23" t="str">
        <f>TEXT(0.161,"#,##0.#######")</f>
        <v>0.161</v>
      </c>
      <c r="AJ701" s="23"/>
      <c r="AK701" s="23"/>
      <c r="AL701" s="38"/>
      <c r="AM701" s="38" t="s">
        <v>354</v>
      </c>
      <c r="AN701" s="38"/>
      <c r="AO701" s="23"/>
      <c r="AP701" s="23"/>
      <c r="AQ701" s="23" t="s">
        <v>103</v>
      </c>
      <c r="AR701" s="23"/>
      <c r="AS701" s="23" t="str">
        <f>TEXT(TRUNC(Z701*AI701,1),"#,##0.#")</f>
        <v>1,369.3</v>
      </c>
      <c r="AT701" s="23"/>
      <c r="AU701" s="29"/>
      <c r="AV701" s="29"/>
      <c r="AW701" s="29"/>
      <c r="AX701" s="29"/>
      <c r="AY701" s="29"/>
      <c r="AZ701" s="29"/>
      <c r="BA701" s="29"/>
      <c r="BB701" s="29"/>
      <c r="BC701" s="29"/>
      <c r="BD701" s="29"/>
      <c r="BE701" s="29"/>
      <c r="BF701" s="29"/>
      <c r="BG701" s="29"/>
      <c r="BH701" s="29"/>
      <c r="BI701" s="29"/>
      <c r="BJ701" s="29"/>
      <c r="BK701" s="29"/>
      <c r="BL701" s="29"/>
      <c r="BM701" s="29"/>
      <c r="BN701" s="23"/>
      <c r="BO701" s="23"/>
      <c r="BP701" s="23"/>
      <c r="BQ701" s="23"/>
      <c r="BR701" s="29"/>
      <c r="BS701" s="29"/>
      <c r="BT701" s="29"/>
      <c r="BU701" s="29"/>
      <c r="BV701" s="23"/>
      <c r="BW701" s="23"/>
      <c r="BX701" s="23"/>
      <c r="BY701" s="23"/>
      <c r="BZ701" s="23"/>
      <c r="CA701" s="23"/>
      <c r="CB701" s="23"/>
      <c r="CC701" s="23"/>
      <c r="CD701" s="23"/>
      <c r="CE701" s="23"/>
      <c r="CF701" s="23"/>
      <c r="CG701" s="23"/>
      <c r="CH701" s="27"/>
      <c r="CI701" s="27"/>
      <c r="CJ701" s="27" t="str">
        <f>AS701</f>
        <v>1,369.3</v>
      </c>
      <c r="CK701" s="28"/>
      <c r="CL701" s="39"/>
    </row>
    <row r="702" spans="1:90" ht="17.45" customHeight="1" x14ac:dyDescent="0.25">
      <c r="A702" s="20"/>
      <c r="B702" s="31"/>
      <c r="C702" s="30"/>
      <c r="D702" s="23"/>
      <c r="E702" s="23"/>
      <c r="F702" s="23"/>
      <c r="G702" s="23" t="s">
        <v>384</v>
      </c>
      <c r="H702" s="23"/>
      <c r="I702" s="23"/>
      <c r="J702" s="23"/>
      <c r="K702" s="23"/>
      <c r="L702" s="23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3" t="s">
        <v>121</v>
      </c>
      <c r="X702" s="29"/>
      <c r="Y702" s="29"/>
      <c r="Z702" s="23" t="str">
        <f>TEXT([1]자재단가!M98,"#,##0.#######")</f>
        <v>3,338.</v>
      </c>
      <c r="AA702" s="23"/>
      <c r="AB702" s="23"/>
      <c r="AC702" s="23"/>
      <c r="AD702" s="23"/>
      <c r="AE702" s="23"/>
      <c r="AF702" s="23" t="s">
        <v>102</v>
      </c>
      <c r="AG702" s="23"/>
      <c r="AH702" s="23"/>
      <c r="AI702" s="23" t="str">
        <f>TEXT(0.008,"#,##0.#######")</f>
        <v>0.008</v>
      </c>
      <c r="AJ702" s="23"/>
      <c r="AK702" s="23"/>
      <c r="AL702" s="29"/>
      <c r="AM702" s="38" t="s">
        <v>354</v>
      </c>
      <c r="AN702" s="38"/>
      <c r="AO702" s="23"/>
      <c r="AP702" s="23"/>
      <c r="AQ702" s="23" t="s">
        <v>103</v>
      </c>
      <c r="AR702" s="23"/>
      <c r="AS702" s="23" t="str">
        <f>TEXT(TRUNC(Z702*AI702,1),"#,##0.#")</f>
        <v>26.7</v>
      </c>
      <c r="AT702" s="23"/>
      <c r="AU702" s="29"/>
      <c r="AV702" s="29"/>
      <c r="AW702" s="29"/>
      <c r="AX702" s="29"/>
      <c r="AY702" s="29"/>
      <c r="AZ702" s="29"/>
      <c r="BA702" s="29"/>
      <c r="BB702" s="29"/>
      <c r="BC702" s="29"/>
      <c r="BD702" s="29"/>
      <c r="BE702" s="29"/>
      <c r="BF702" s="29"/>
      <c r="BG702" s="29"/>
      <c r="BH702" s="29"/>
      <c r="BI702" s="29"/>
      <c r="BJ702" s="29"/>
      <c r="BK702" s="29"/>
      <c r="BL702" s="29"/>
      <c r="BM702" s="29"/>
      <c r="BN702" s="23"/>
      <c r="BO702" s="23"/>
      <c r="BP702" s="23"/>
      <c r="BQ702" s="23"/>
      <c r="BR702" s="29"/>
      <c r="BS702" s="29"/>
      <c r="BT702" s="29"/>
      <c r="BU702" s="29"/>
      <c r="BV702" s="23"/>
      <c r="BW702" s="23"/>
      <c r="BX702" s="23"/>
      <c r="BY702" s="23"/>
      <c r="BZ702" s="23"/>
      <c r="CA702" s="23"/>
      <c r="CB702" s="23"/>
      <c r="CC702" s="23"/>
      <c r="CD702" s="23"/>
      <c r="CE702" s="23"/>
      <c r="CF702" s="23"/>
      <c r="CG702" s="23"/>
      <c r="CH702" s="27"/>
      <c r="CI702" s="27"/>
      <c r="CJ702" s="27" t="str">
        <f>AS702</f>
        <v>26.7</v>
      </c>
      <c r="CK702" s="28"/>
      <c r="CL702" s="39"/>
    </row>
    <row r="703" spans="1:90" ht="17.45" customHeight="1" x14ac:dyDescent="0.25">
      <c r="A703" s="20"/>
      <c r="B703" s="31"/>
      <c r="C703" s="30"/>
      <c r="D703" s="23"/>
      <c r="E703" s="23"/>
      <c r="F703" s="23"/>
      <c r="G703" s="23" t="s">
        <v>385</v>
      </c>
      <c r="H703" s="23"/>
      <c r="I703" s="23"/>
      <c r="J703" s="23"/>
      <c r="K703" s="23"/>
      <c r="L703" s="23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3" t="s">
        <v>121</v>
      </c>
      <c r="X703" s="29"/>
      <c r="Y703" s="29"/>
      <c r="Z703" s="23" t="str">
        <f>TEXT(AS701+AS702,"#,##0.#######")</f>
        <v>1,396.</v>
      </c>
      <c r="AA703" s="23"/>
      <c r="AB703" s="23"/>
      <c r="AC703" s="23"/>
      <c r="AD703" s="23"/>
      <c r="AE703" s="23"/>
      <c r="AF703" s="23" t="s">
        <v>102</v>
      </c>
      <c r="AG703" s="23"/>
      <c r="AH703" s="23"/>
      <c r="AI703" s="23" t="str">
        <f>TEXT(0.03,"#,##0.#######")</f>
        <v>0.03</v>
      </c>
      <c r="AJ703" s="23"/>
      <c r="AK703" s="23"/>
      <c r="AL703" s="29"/>
      <c r="AM703" s="29"/>
      <c r="AN703" s="38"/>
      <c r="AO703" s="23"/>
      <c r="AP703" s="23"/>
      <c r="AQ703" s="23" t="s">
        <v>103</v>
      </c>
      <c r="AR703" s="23"/>
      <c r="AS703" s="23" t="str">
        <f>TEXT(TRUNC(Z703*AI703,1),"#,##0.#")</f>
        <v>41.8</v>
      </c>
      <c r="AT703" s="23"/>
      <c r="AU703" s="29"/>
      <c r="AV703" s="29"/>
      <c r="AW703" s="29"/>
      <c r="AX703" s="29"/>
      <c r="AY703" s="29"/>
      <c r="AZ703" s="29"/>
      <c r="BA703" s="29"/>
      <c r="BB703" s="29"/>
      <c r="BC703" s="29"/>
      <c r="BD703" s="29"/>
      <c r="BE703" s="29"/>
      <c r="BF703" s="29"/>
      <c r="BG703" s="29"/>
      <c r="BH703" s="29"/>
      <c r="BI703" s="29"/>
      <c r="BJ703" s="29"/>
      <c r="BK703" s="29"/>
      <c r="BL703" s="29"/>
      <c r="BM703" s="29"/>
      <c r="BN703" s="23"/>
      <c r="BO703" s="23"/>
      <c r="BP703" s="23"/>
      <c r="BQ703" s="23"/>
      <c r="BR703" s="29"/>
      <c r="BS703" s="29"/>
      <c r="BT703" s="29"/>
      <c r="BU703" s="29"/>
      <c r="BV703" s="23"/>
      <c r="BW703" s="23"/>
      <c r="BX703" s="23"/>
      <c r="BY703" s="23"/>
      <c r="BZ703" s="23"/>
      <c r="CA703" s="23"/>
      <c r="CB703" s="23"/>
      <c r="CC703" s="23"/>
      <c r="CD703" s="23"/>
      <c r="CE703" s="23"/>
      <c r="CF703" s="23"/>
      <c r="CG703" s="23"/>
      <c r="CH703" s="27"/>
      <c r="CI703" s="27"/>
      <c r="CJ703" s="27" t="str">
        <f>AS703</f>
        <v>41.8</v>
      </c>
      <c r="CK703" s="28"/>
      <c r="CL703" s="39"/>
    </row>
    <row r="704" spans="1:90" ht="17.45" customHeight="1" x14ac:dyDescent="0.25">
      <c r="A704" s="20"/>
      <c r="B704" s="31"/>
      <c r="C704" s="30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9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9"/>
      <c r="AR704" s="29"/>
      <c r="AS704" s="29"/>
      <c r="AT704" s="23"/>
      <c r="AU704" s="23"/>
      <c r="AV704" s="23"/>
      <c r="AW704" s="23"/>
      <c r="AX704" s="23"/>
      <c r="AY704" s="23"/>
      <c r="AZ704" s="23"/>
      <c r="BA704" s="23"/>
      <c r="BB704" s="29"/>
      <c r="BC704" s="29"/>
      <c r="BD704" s="29"/>
      <c r="BE704" s="29"/>
      <c r="BF704" s="29"/>
      <c r="BG704" s="29"/>
      <c r="BH704" s="29"/>
      <c r="BI704" s="23"/>
      <c r="BJ704" s="23"/>
      <c r="BK704" s="23"/>
      <c r="BL704" s="23"/>
      <c r="BM704" s="23"/>
      <c r="BN704" s="23"/>
      <c r="BO704" s="23"/>
      <c r="BP704" s="23"/>
      <c r="BQ704" s="23"/>
      <c r="BR704" s="29"/>
      <c r="BS704" s="29"/>
      <c r="BT704" s="29"/>
      <c r="BU704" s="29"/>
      <c r="BV704" s="23"/>
      <c r="BW704" s="23"/>
      <c r="BX704" s="23"/>
      <c r="BY704" s="23"/>
      <c r="BZ704" s="23"/>
      <c r="CA704" s="23"/>
      <c r="CB704" s="23"/>
      <c r="CC704" s="23"/>
      <c r="CD704" s="23"/>
      <c r="CE704" s="23"/>
      <c r="CF704" s="23"/>
      <c r="CG704" s="23"/>
      <c r="CH704" s="27"/>
      <c r="CI704" s="27"/>
      <c r="CJ704" s="27"/>
      <c r="CK704" s="28"/>
      <c r="CL704" s="39"/>
    </row>
    <row r="705" spans="1:90" ht="17.45" customHeight="1" x14ac:dyDescent="0.2">
      <c r="A705" s="20"/>
      <c r="B705" s="31"/>
      <c r="C705" s="30"/>
      <c r="D705" s="23" t="s">
        <v>168</v>
      </c>
      <c r="E705" s="23"/>
      <c r="F705" s="23"/>
      <c r="G705" s="23" t="s">
        <v>161</v>
      </c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  <c r="BO705" s="23"/>
      <c r="BP705" s="23"/>
      <c r="BQ705" s="23"/>
      <c r="BR705" s="23"/>
      <c r="BS705" s="23"/>
      <c r="BT705" s="23"/>
      <c r="BU705" s="23"/>
      <c r="BV705" s="23"/>
      <c r="BW705" s="23"/>
      <c r="BX705" s="23"/>
      <c r="BY705" s="23"/>
      <c r="BZ705" s="23"/>
      <c r="CA705" s="23"/>
      <c r="CB705" s="23"/>
      <c r="CC705" s="23"/>
      <c r="CD705" s="23"/>
      <c r="CE705" s="23"/>
      <c r="CF705" s="23"/>
      <c r="CG705" s="23"/>
      <c r="CH705" s="27"/>
      <c r="CI705" s="27"/>
      <c r="CJ705" s="27"/>
      <c r="CK705" s="28"/>
      <c r="CL705" s="39"/>
    </row>
    <row r="706" spans="1:90" ht="17.45" customHeight="1" x14ac:dyDescent="0.25">
      <c r="A706" s="20"/>
      <c r="B706" s="31"/>
      <c r="C706" s="30"/>
      <c r="D706" s="23"/>
      <c r="E706" s="23"/>
      <c r="F706" s="23"/>
      <c r="G706" s="23" t="s">
        <v>386</v>
      </c>
      <c r="H706" s="23"/>
      <c r="I706" s="23"/>
      <c r="J706" s="23"/>
      <c r="K706" s="23"/>
      <c r="L706" s="23"/>
      <c r="M706" s="23"/>
      <c r="N706" s="23" t="s">
        <v>121</v>
      </c>
      <c r="O706" s="23"/>
      <c r="P706" s="23" t="str">
        <f>TEXT([1]노임및중기단가!I17,"#,##0")</f>
        <v>198,613</v>
      </c>
      <c r="Q706" s="23"/>
      <c r="R706" s="23"/>
      <c r="S706" s="23"/>
      <c r="T706" s="23"/>
      <c r="U706" s="23"/>
      <c r="V706" s="23"/>
      <c r="W706" s="23" t="s">
        <v>102</v>
      </c>
      <c r="X706" s="23"/>
      <c r="Y706" s="23"/>
      <c r="Z706" s="23" t="str">
        <f>TEXT(0.015,"#,##0.#######")</f>
        <v>0.015</v>
      </c>
      <c r="AA706" s="23"/>
      <c r="AB706" s="23"/>
      <c r="AC706" s="23"/>
      <c r="AD706" s="23" t="s">
        <v>243</v>
      </c>
      <c r="AE706" s="23"/>
      <c r="AF706" s="23"/>
      <c r="AG706" s="23" t="s">
        <v>103</v>
      </c>
      <c r="AH706" s="23"/>
      <c r="AI706" s="23" t="str">
        <f>TEXT(TRUNC(P706*Z706,1),"#,##0.#")</f>
        <v>2,979.1</v>
      </c>
      <c r="AJ706" s="23"/>
      <c r="AK706" s="23"/>
      <c r="AL706" s="29"/>
      <c r="AM706" s="29"/>
      <c r="AN706" s="29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  <c r="BO706" s="23"/>
      <c r="BP706" s="23"/>
      <c r="BQ706" s="23"/>
      <c r="BR706" s="23"/>
      <c r="BS706" s="23"/>
      <c r="BT706" s="23"/>
      <c r="BU706" s="23"/>
      <c r="BV706" s="23"/>
      <c r="BW706" s="23"/>
      <c r="BX706" s="23"/>
      <c r="BY706" s="23"/>
      <c r="BZ706" s="23"/>
      <c r="CA706" s="23"/>
      <c r="CB706" s="23"/>
      <c r="CC706" s="23"/>
      <c r="CD706" s="23"/>
      <c r="CE706" s="23"/>
      <c r="CF706" s="23"/>
      <c r="CG706" s="23"/>
      <c r="CH706" s="27"/>
      <c r="CI706" s="64" t="str">
        <f>AI706</f>
        <v>2,979.1</v>
      </c>
      <c r="CJ706" s="27"/>
      <c r="CK706" s="28"/>
      <c r="CL706" s="39"/>
    </row>
    <row r="707" spans="1:90" ht="17.45" customHeight="1" x14ac:dyDescent="0.25">
      <c r="A707" s="20"/>
      <c r="B707" s="31"/>
      <c r="C707" s="30"/>
      <c r="D707" s="34"/>
      <c r="E707" s="34"/>
      <c r="F707" s="34"/>
      <c r="G707" s="23" t="s">
        <v>322</v>
      </c>
      <c r="H707" s="23"/>
      <c r="I707" s="23"/>
      <c r="J707" s="23"/>
      <c r="K707" s="23"/>
      <c r="L707" s="23"/>
      <c r="M707" s="23"/>
      <c r="N707" s="23" t="s">
        <v>121</v>
      </c>
      <c r="O707" s="23"/>
      <c r="P707" s="23" t="str">
        <f>TEXT([1]노임및중기단가!I8,"#,##0")</f>
        <v>138,290</v>
      </c>
      <c r="Q707" s="23"/>
      <c r="R707" s="23"/>
      <c r="S707" s="23"/>
      <c r="T707" s="23"/>
      <c r="U707" s="23"/>
      <c r="V707" s="23"/>
      <c r="W707" s="23" t="s">
        <v>102</v>
      </c>
      <c r="X707" s="23"/>
      <c r="Y707" s="23"/>
      <c r="Z707" s="23" t="str">
        <f>TEXT(0.003,"#,##0.#######")</f>
        <v>0.003</v>
      </c>
      <c r="AA707" s="23"/>
      <c r="AB707" s="23"/>
      <c r="AC707" s="23"/>
      <c r="AD707" s="23" t="s">
        <v>243</v>
      </c>
      <c r="AE707" s="23"/>
      <c r="AF707" s="23"/>
      <c r="AG707" s="23" t="s">
        <v>103</v>
      </c>
      <c r="AH707" s="23"/>
      <c r="AI707" s="23" t="str">
        <f>TEXT(TRUNC(P707*Z707,1),"#,##0.#")</f>
        <v>414.8</v>
      </c>
      <c r="AJ707" s="23"/>
      <c r="AK707" s="23"/>
      <c r="AL707" s="29"/>
      <c r="AM707" s="29"/>
      <c r="AN707" s="29"/>
      <c r="AO707" s="23"/>
      <c r="AP707" s="23"/>
      <c r="AQ707" s="23"/>
      <c r="AR707" s="34"/>
      <c r="AS707" s="34"/>
      <c r="AT707" s="34"/>
      <c r="AU707" s="34"/>
      <c r="AV707" s="34"/>
      <c r="AW707" s="34"/>
      <c r="AX707" s="34"/>
      <c r="AY707" s="34"/>
      <c r="AZ707" s="34"/>
      <c r="BA707" s="34"/>
      <c r="BB707" s="34"/>
      <c r="BC707" s="34"/>
      <c r="BD707" s="34"/>
      <c r="BE707" s="34"/>
      <c r="BF707" s="34"/>
      <c r="BG707" s="34"/>
      <c r="BH707" s="34"/>
      <c r="BI707" s="34"/>
      <c r="BJ707" s="34"/>
      <c r="BK707" s="34"/>
      <c r="BL707" s="34"/>
      <c r="BM707" s="34"/>
      <c r="BN707" s="34"/>
      <c r="BO707" s="34"/>
      <c r="BP707" s="34"/>
      <c r="BQ707" s="34"/>
      <c r="BR707" s="34"/>
      <c r="BS707" s="34"/>
      <c r="BT707" s="34"/>
      <c r="BU707" s="34"/>
      <c r="BV707" s="34"/>
      <c r="BW707" s="34"/>
      <c r="BX707" s="34"/>
      <c r="BY707" s="34"/>
      <c r="BZ707" s="34"/>
      <c r="CA707" s="34"/>
      <c r="CB707" s="34"/>
      <c r="CC707" s="34"/>
      <c r="CD707" s="34"/>
      <c r="CE707" s="34"/>
      <c r="CF707" s="34"/>
      <c r="CG707" s="34"/>
      <c r="CH707" s="27"/>
      <c r="CI707" s="64" t="str">
        <f>AI707</f>
        <v>414.8</v>
      </c>
      <c r="CJ707" s="27"/>
      <c r="CK707" s="28"/>
      <c r="CL707" s="39"/>
    </row>
    <row r="708" spans="1:90" ht="17.45" customHeight="1" x14ac:dyDescent="0.25">
      <c r="A708" s="20"/>
      <c r="B708" s="31"/>
      <c r="C708" s="30"/>
      <c r="D708" s="34"/>
      <c r="E708" s="34"/>
      <c r="F708" s="34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9"/>
      <c r="AM708" s="29"/>
      <c r="AN708" s="29"/>
      <c r="AO708" s="23"/>
      <c r="AP708" s="23"/>
      <c r="AQ708" s="23"/>
      <c r="AR708" s="34"/>
      <c r="AS708" s="34"/>
      <c r="AT708" s="34"/>
      <c r="AU708" s="34"/>
      <c r="AV708" s="34"/>
      <c r="AW708" s="34"/>
      <c r="AX708" s="34"/>
      <c r="AY708" s="34"/>
      <c r="AZ708" s="34"/>
      <c r="BA708" s="34"/>
      <c r="BB708" s="34"/>
      <c r="BC708" s="34"/>
      <c r="BD708" s="34"/>
      <c r="BE708" s="34"/>
      <c r="BF708" s="34"/>
      <c r="BG708" s="34"/>
      <c r="BH708" s="34"/>
      <c r="BI708" s="34"/>
      <c r="BJ708" s="34"/>
      <c r="BK708" s="34"/>
      <c r="BL708" s="34"/>
      <c r="BM708" s="34"/>
      <c r="BN708" s="34"/>
      <c r="BO708" s="34"/>
      <c r="BP708" s="34"/>
      <c r="BQ708" s="34"/>
      <c r="BR708" s="34"/>
      <c r="BS708" s="34"/>
      <c r="BT708" s="34"/>
      <c r="BU708" s="34"/>
      <c r="BV708" s="34"/>
      <c r="BW708" s="34"/>
      <c r="BX708" s="34"/>
      <c r="BY708" s="34"/>
      <c r="BZ708" s="34"/>
      <c r="CA708" s="34"/>
      <c r="CB708" s="34"/>
      <c r="CC708" s="34"/>
      <c r="CD708" s="34"/>
      <c r="CE708" s="34"/>
      <c r="CF708" s="34"/>
      <c r="CG708" s="34"/>
      <c r="CH708" s="27"/>
      <c r="CI708" s="64"/>
      <c r="CJ708" s="27"/>
      <c r="CK708" s="28"/>
      <c r="CL708" s="39"/>
    </row>
    <row r="709" spans="1:90" ht="17.45" customHeight="1" x14ac:dyDescent="0.25">
      <c r="A709" s="20"/>
      <c r="B709" s="31"/>
      <c r="C709" s="30"/>
      <c r="D709" s="23" t="s">
        <v>387</v>
      </c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  <c r="AQ709" s="29"/>
      <c r="AR709" s="29"/>
      <c r="AS709" s="29"/>
      <c r="AT709" s="29"/>
      <c r="AU709" s="29"/>
      <c r="AV709" s="29"/>
      <c r="AW709" s="29"/>
      <c r="AX709" s="29"/>
      <c r="AY709" s="29"/>
      <c r="AZ709" s="29"/>
      <c r="BA709" s="34"/>
      <c r="BB709" s="34"/>
      <c r="BC709" s="34"/>
      <c r="BD709" s="34"/>
      <c r="BE709" s="34"/>
      <c r="BF709" s="34"/>
      <c r="BG709" s="34"/>
      <c r="BH709" s="34"/>
      <c r="BI709" s="34"/>
      <c r="BJ709" s="34"/>
      <c r="BK709" s="34"/>
      <c r="BL709" s="34"/>
      <c r="BM709" s="34"/>
      <c r="BN709" s="34"/>
      <c r="BO709" s="34"/>
      <c r="BP709" s="34"/>
      <c r="BQ709" s="34"/>
      <c r="BR709" s="34"/>
      <c r="BS709" s="34"/>
      <c r="BT709" s="34"/>
      <c r="BU709" s="34"/>
      <c r="BV709" s="34"/>
      <c r="BW709" s="34"/>
      <c r="BX709" s="34"/>
      <c r="BY709" s="34"/>
      <c r="BZ709" s="34"/>
      <c r="CA709" s="34"/>
      <c r="CB709" s="34"/>
      <c r="CC709" s="34"/>
      <c r="CD709" s="34"/>
      <c r="CE709" s="34"/>
      <c r="CF709" s="34"/>
      <c r="CG709" s="34"/>
      <c r="CH709" s="27"/>
      <c r="CI709" s="64"/>
      <c r="CJ709" s="27"/>
      <c r="CK709" s="28"/>
      <c r="CL709" s="39"/>
    </row>
    <row r="710" spans="1:90" ht="17.45" customHeight="1" x14ac:dyDescent="0.2">
      <c r="A710" s="20"/>
      <c r="B710" s="31"/>
      <c r="C710" s="30"/>
      <c r="D710" s="23" t="s">
        <v>94</v>
      </c>
      <c r="E710" s="23"/>
      <c r="F710" s="23"/>
      <c r="G710" s="23" t="s">
        <v>123</v>
      </c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34"/>
      <c r="BB710" s="34"/>
      <c r="BC710" s="34"/>
      <c r="BD710" s="34"/>
      <c r="BE710" s="34"/>
      <c r="BF710" s="34"/>
      <c r="BG710" s="34"/>
      <c r="BH710" s="34"/>
      <c r="BI710" s="34"/>
      <c r="BJ710" s="34"/>
      <c r="BK710" s="34"/>
      <c r="BL710" s="34"/>
      <c r="BM710" s="34"/>
      <c r="BN710" s="34"/>
      <c r="BO710" s="34"/>
      <c r="BP710" s="34"/>
      <c r="BQ710" s="34"/>
      <c r="BR710" s="34"/>
      <c r="BS710" s="34"/>
      <c r="BT710" s="34"/>
      <c r="BU710" s="34"/>
      <c r="BV710" s="34"/>
      <c r="BW710" s="34"/>
      <c r="BX710" s="34"/>
      <c r="BY710" s="34"/>
      <c r="BZ710" s="34"/>
      <c r="CA710" s="34"/>
      <c r="CB710" s="34"/>
      <c r="CC710" s="34"/>
      <c r="CD710" s="34"/>
      <c r="CE710" s="34"/>
      <c r="CF710" s="34"/>
      <c r="CG710" s="34"/>
      <c r="CH710" s="27"/>
      <c r="CI710" s="64"/>
      <c r="CJ710" s="27"/>
      <c r="CK710" s="28"/>
      <c r="CL710" s="39"/>
    </row>
    <row r="711" spans="1:90" ht="17.45" customHeight="1" x14ac:dyDescent="0.25">
      <c r="A711" s="20"/>
      <c r="B711" s="31"/>
      <c r="C711" s="30"/>
      <c r="D711" s="23"/>
      <c r="E711" s="23"/>
      <c r="F711" s="23"/>
      <c r="G711" s="23" t="s">
        <v>388</v>
      </c>
      <c r="H711" s="23"/>
      <c r="I711" s="23"/>
      <c r="J711" s="23"/>
      <c r="K711" s="23"/>
      <c r="L711" s="23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3" t="s">
        <v>121</v>
      </c>
      <c r="X711" s="29"/>
      <c r="Y711" s="29"/>
      <c r="Z711" s="23" t="str">
        <f>TEXT([1]자재단가!M96,"#,##0.#######")</f>
        <v>4,322.</v>
      </c>
      <c r="AA711" s="23"/>
      <c r="AB711" s="23"/>
      <c r="AC711" s="23"/>
      <c r="AD711" s="23"/>
      <c r="AE711" s="23"/>
      <c r="AF711" s="23" t="s">
        <v>102</v>
      </c>
      <c r="AG711" s="23"/>
      <c r="AH711" s="23"/>
      <c r="AI711" s="23" t="str">
        <f>TEXT(0.166,"#,##0.#######")</f>
        <v>0.166</v>
      </c>
      <c r="AJ711" s="23"/>
      <c r="AK711" s="23"/>
      <c r="AL711" s="34"/>
      <c r="AM711" s="34"/>
      <c r="AN711" s="38"/>
      <c r="AO711" s="38" t="s">
        <v>354</v>
      </c>
      <c r="AP711" s="23"/>
      <c r="AQ711" s="23" t="s">
        <v>103</v>
      </c>
      <c r="AR711" s="23"/>
      <c r="AS711" s="23" t="str">
        <f>TEXT(TRUNC(Z711*AI711,1),"#,##0.#")</f>
        <v>717.4</v>
      </c>
      <c r="AT711" s="23"/>
      <c r="AU711" s="29"/>
      <c r="AV711" s="29"/>
      <c r="AW711" s="29"/>
      <c r="AX711" s="29"/>
      <c r="AY711" s="29"/>
      <c r="AZ711" s="29"/>
      <c r="BA711" s="34"/>
      <c r="BB711" s="34"/>
      <c r="BC711" s="34"/>
      <c r="BD711" s="34"/>
      <c r="BE711" s="34"/>
      <c r="BF711" s="34"/>
      <c r="BG711" s="34"/>
      <c r="BH711" s="34"/>
      <c r="BI711" s="34"/>
      <c r="BJ711" s="34"/>
      <c r="BK711" s="34"/>
      <c r="BL711" s="34"/>
      <c r="BM711" s="34"/>
      <c r="BN711" s="34"/>
      <c r="BO711" s="34"/>
      <c r="BP711" s="34"/>
      <c r="BQ711" s="34"/>
      <c r="BR711" s="34"/>
      <c r="BS711" s="34"/>
      <c r="BT711" s="34"/>
      <c r="BU711" s="34"/>
      <c r="BV711" s="34"/>
      <c r="BW711" s="34"/>
      <c r="BX711" s="34"/>
      <c r="BY711" s="34"/>
      <c r="BZ711" s="34"/>
      <c r="CA711" s="34"/>
      <c r="CB711" s="34"/>
      <c r="CC711" s="34"/>
      <c r="CD711" s="34"/>
      <c r="CE711" s="34"/>
      <c r="CF711" s="34"/>
      <c r="CG711" s="34"/>
      <c r="CH711" s="27"/>
      <c r="CI711" s="64"/>
      <c r="CJ711" s="27" t="str">
        <f>AS711</f>
        <v>717.4</v>
      </c>
      <c r="CK711" s="28"/>
      <c r="CL711" s="39"/>
    </row>
    <row r="712" spans="1:90" ht="17.45" customHeight="1" x14ac:dyDescent="0.25">
      <c r="A712" s="20"/>
      <c r="B712" s="31"/>
      <c r="C712" s="30"/>
      <c r="D712" s="23"/>
      <c r="E712" s="23"/>
      <c r="F712" s="23"/>
      <c r="G712" s="23" t="s">
        <v>384</v>
      </c>
      <c r="H712" s="23"/>
      <c r="I712" s="23"/>
      <c r="J712" s="23"/>
      <c r="K712" s="23"/>
      <c r="L712" s="23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3" t="s">
        <v>121</v>
      </c>
      <c r="X712" s="29"/>
      <c r="Y712" s="29"/>
      <c r="Z712" s="23" t="str">
        <f>TEXT([1]자재단가!M108,"#,##0.#######")</f>
        <v>275.</v>
      </c>
      <c r="AA712" s="23"/>
      <c r="AB712" s="23"/>
      <c r="AC712" s="23"/>
      <c r="AD712" s="23"/>
      <c r="AE712" s="23"/>
      <c r="AF712" s="23" t="s">
        <v>102</v>
      </c>
      <c r="AG712" s="23"/>
      <c r="AH712" s="23"/>
      <c r="AI712" s="23" t="str">
        <f>TEXT(0.008,"#,##0.#######")</f>
        <v>0.008</v>
      </c>
      <c r="AJ712" s="23"/>
      <c r="AK712" s="23"/>
      <c r="AL712" s="29"/>
      <c r="AM712" s="29"/>
      <c r="AN712" s="38" t="s">
        <v>354</v>
      </c>
      <c r="AO712" s="23"/>
      <c r="AP712" s="23"/>
      <c r="AQ712" s="23" t="s">
        <v>103</v>
      </c>
      <c r="AR712" s="23"/>
      <c r="AS712" s="23" t="str">
        <f>TEXT(TRUNC(Z712*AI712,1),"#,##0.#")</f>
        <v>2.2</v>
      </c>
      <c r="AT712" s="23"/>
      <c r="AU712" s="29"/>
      <c r="AV712" s="29"/>
      <c r="AW712" s="29"/>
      <c r="AX712" s="29"/>
      <c r="AY712" s="29"/>
      <c r="AZ712" s="29"/>
      <c r="BA712" s="34"/>
      <c r="BB712" s="34"/>
      <c r="BC712" s="34"/>
      <c r="BD712" s="34"/>
      <c r="BE712" s="34"/>
      <c r="BF712" s="34"/>
      <c r="BG712" s="34"/>
      <c r="BH712" s="34"/>
      <c r="BI712" s="34"/>
      <c r="BJ712" s="34"/>
      <c r="BK712" s="34"/>
      <c r="BL712" s="34"/>
      <c r="BM712" s="34"/>
      <c r="BN712" s="34"/>
      <c r="BO712" s="34"/>
      <c r="BP712" s="34"/>
      <c r="BQ712" s="34"/>
      <c r="BR712" s="34"/>
      <c r="BS712" s="34"/>
      <c r="BT712" s="34"/>
      <c r="BU712" s="34"/>
      <c r="BV712" s="34"/>
      <c r="BW712" s="34"/>
      <c r="BX712" s="34"/>
      <c r="BY712" s="34"/>
      <c r="BZ712" s="34"/>
      <c r="CA712" s="34"/>
      <c r="CB712" s="34"/>
      <c r="CC712" s="34"/>
      <c r="CD712" s="34"/>
      <c r="CE712" s="34"/>
      <c r="CF712" s="34"/>
      <c r="CG712" s="34"/>
      <c r="CH712" s="27"/>
      <c r="CI712" s="64"/>
      <c r="CJ712" s="27" t="str">
        <f>AS712</f>
        <v>2.2</v>
      </c>
      <c r="CK712" s="28"/>
      <c r="CL712" s="39"/>
    </row>
    <row r="713" spans="1:90" ht="17.45" customHeight="1" x14ac:dyDescent="0.25">
      <c r="A713" s="20"/>
      <c r="B713" s="31"/>
      <c r="C713" s="30"/>
      <c r="D713" s="23"/>
      <c r="E713" s="23"/>
      <c r="F713" s="23"/>
      <c r="G713" s="23" t="s">
        <v>389</v>
      </c>
      <c r="H713" s="23"/>
      <c r="I713" s="23"/>
      <c r="J713" s="23"/>
      <c r="K713" s="23"/>
      <c r="L713" s="23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3" t="s">
        <v>121</v>
      </c>
      <c r="X713" s="29"/>
      <c r="Y713" s="29"/>
      <c r="Z713" s="23" t="str">
        <f>TEXT(AS711+AS712,"#,##0.#######")</f>
        <v>719.6</v>
      </c>
      <c r="AA713" s="23"/>
      <c r="AB713" s="23"/>
      <c r="AC713" s="23"/>
      <c r="AD713" s="23"/>
      <c r="AE713" s="23"/>
      <c r="AF713" s="23" t="s">
        <v>102</v>
      </c>
      <c r="AG713" s="23"/>
      <c r="AH713" s="23"/>
      <c r="AI713" s="23" t="str">
        <f>TEXT(0.04,"#,##0.#######")</f>
        <v>0.04</v>
      </c>
      <c r="AJ713" s="23"/>
      <c r="AK713" s="23"/>
      <c r="AL713" s="29"/>
      <c r="AM713" s="29"/>
      <c r="AN713" s="38"/>
      <c r="AO713" s="23"/>
      <c r="AP713" s="23"/>
      <c r="AQ713" s="23" t="s">
        <v>103</v>
      </c>
      <c r="AR713" s="23"/>
      <c r="AS713" s="23" t="str">
        <f>TEXT(TRUNC(Z713*AI713,1),"#,##0.#")</f>
        <v>28.7</v>
      </c>
      <c r="AT713" s="23"/>
      <c r="AU713" s="29"/>
      <c r="AV713" s="29"/>
      <c r="AW713" s="29"/>
      <c r="AX713" s="29"/>
      <c r="AY713" s="29"/>
      <c r="AZ713" s="29"/>
      <c r="BA713" s="34"/>
      <c r="BB713" s="34"/>
      <c r="BC713" s="34"/>
      <c r="BD713" s="34"/>
      <c r="BE713" s="34"/>
      <c r="BF713" s="34"/>
      <c r="BG713" s="34"/>
      <c r="BH713" s="34"/>
      <c r="BI713" s="34"/>
      <c r="BJ713" s="34"/>
      <c r="BK713" s="34"/>
      <c r="BL713" s="34"/>
      <c r="BM713" s="34"/>
      <c r="BN713" s="34"/>
      <c r="BO713" s="34"/>
      <c r="BP713" s="34"/>
      <c r="BQ713" s="34"/>
      <c r="BR713" s="34"/>
      <c r="BS713" s="34"/>
      <c r="BT713" s="34"/>
      <c r="BU713" s="34"/>
      <c r="BV713" s="34"/>
      <c r="BW713" s="34"/>
      <c r="BX713" s="34"/>
      <c r="BY713" s="34"/>
      <c r="BZ713" s="34"/>
      <c r="CA713" s="34"/>
      <c r="CB713" s="34"/>
      <c r="CC713" s="34"/>
      <c r="CD713" s="34"/>
      <c r="CE713" s="34"/>
      <c r="CF713" s="34"/>
      <c r="CG713" s="34"/>
      <c r="CH713" s="27"/>
      <c r="CI713" s="64"/>
      <c r="CJ713" s="27" t="str">
        <f>AS713</f>
        <v>28.7</v>
      </c>
      <c r="CK713" s="28"/>
      <c r="CL713" s="39"/>
    </row>
    <row r="714" spans="1:90" ht="17.45" customHeight="1" x14ac:dyDescent="0.25">
      <c r="A714" s="20"/>
      <c r="B714" s="31"/>
      <c r="C714" s="30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9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9"/>
      <c r="AR714" s="29"/>
      <c r="AS714" s="29"/>
      <c r="AT714" s="23"/>
      <c r="AU714" s="23"/>
      <c r="AV714" s="23"/>
      <c r="AW714" s="23"/>
      <c r="AX714" s="23"/>
      <c r="AY714" s="23"/>
      <c r="AZ714" s="23"/>
      <c r="BA714" s="34"/>
      <c r="BB714" s="34"/>
      <c r="BC714" s="34"/>
      <c r="BD714" s="34"/>
      <c r="BE714" s="34"/>
      <c r="BF714" s="34"/>
      <c r="BG714" s="34"/>
      <c r="BH714" s="34"/>
      <c r="BI714" s="34"/>
      <c r="BJ714" s="34"/>
      <c r="BK714" s="34"/>
      <c r="BL714" s="34"/>
      <c r="BM714" s="34"/>
      <c r="BN714" s="34"/>
      <c r="BO714" s="34"/>
      <c r="BP714" s="34"/>
      <c r="BQ714" s="34"/>
      <c r="BR714" s="34"/>
      <c r="BS714" s="34"/>
      <c r="BT714" s="34"/>
      <c r="BU714" s="34"/>
      <c r="BV714" s="34"/>
      <c r="BW714" s="34"/>
      <c r="BX714" s="34"/>
      <c r="BY714" s="34"/>
      <c r="BZ714" s="34"/>
      <c r="CA714" s="34"/>
      <c r="CB714" s="34"/>
      <c r="CC714" s="34"/>
      <c r="CD714" s="34"/>
      <c r="CE714" s="34"/>
      <c r="CF714" s="34"/>
      <c r="CG714" s="34"/>
      <c r="CH714" s="27"/>
      <c r="CI714" s="64"/>
      <c r="CJ714" s="27"/>
      <c r="CK714" s="28"/>
      <c r="CL714" s="39"/>
    </row>
    <row r="715" spans="1:90" ht="17.45" customHeight="1" x14ac:dyDescent="0.2">
      <c r="A715" s="20"/>
      <c r="B715" s="31"/>
      <c r="C715" s="30"/>
      <c r="D715" s="23" t="s">
        <v>168</v>
      </c>
      <c r="E715" s="23"/>
      <c r="F715" s="23"/>
      <c r="G715" s="23" t="s">
        <v>161</v>
      </c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34"/>
      <c r="BB715" s="34"/>
      <c r="BC715" s="34"/>
      <c r="BD715" s="34"/>
      <c r="BE715" s="34"/>
      <c r="BF715" s="34"/>
      <c r="BG715" s="34"/>
      <c r="BH715" s="34"/>
      <c r="BI715" s="34"/>
      <c r="BJ715" s="34"/>
      <c r="BK715" s="34"/>
      <c r="BL715" s="34"/>
      <c r="BM715" s="34"/>
      <c r="BN715" s="34"/>
      <c r="BO715" s="34"/>
      <c r="BP715" s="34"/>
      <c r="BQ715" s="34"/>
      <c r="BR715" s="34"/>
      <c r="BS715" s="34"/>
      <c r="BT715" s="34"/>
      <c r="BU715" s="34"/>
      <c r="BV715" s="34"/>
      <c r="BW715" s="34"/>
      <c r="BX715" s="34"/>
      <c r="BY715" s="34"/>
      <c r="BZ715" s="34"/>
      <c r="CA715" s="34"/>
      <c r="CB715" s="34"/>
      <c r="CC715" s="34"/>
      <c r="CD715" s="34"/>
      <c r="CE715" s="34"/>
      <c r="CF715" s="34"/>
      <c r="CG715" s="34"/>
      <c r="CH715" s="27"/>
      <c r="CI715" s="64"/>
      <c r="CJ715" s="27"/>
      <c r="CK715" s="28"/>
      <c r="CL715" s="39"/>
    </row>
    <row r="716" spans="1:90" ht="17.45" customHeight="1" x14ac:dyDescent="0.25">
      <c r="A716" s="20"/>
      <c r="B716" s="31"/>
      <c r="C716" s="30"/>
      <c r="D716" s="23"/>
      <c r="E716" s="23"/>
      <c r="F716" s="23"/>
      <c r="G716" s="23" t="s">
        <v>386</v>
      </c>
      <c r="H716" s="23"/>
      <c r="I716" s="23"/>
      <c r="J716" s="23"/>
      <c r="K716" s="23"/>
      <c r="L716" s="23"/>
      <c r="M716" s="23"/>
      <c r="N716" s="23" t="s">
        <v>121</v>
      </c>
      <c r="O716" s="23"/>
      <c r="P716" s="23" t="str">
        <f>TEXT([1]노임및중기단가!I17,"#,##0")</f>
        <v>198,613</v>
      </c>
      <c r="Q716" s="23"/>
      <c r="R716" s="23"/>
      <c r="S716" s="23"/>
      <c r="T716" s="23"/>
      <c r="U716" s="23"/>
      <c r="V716" s="23"/>
      <c r="W716" s="23" t="s">
        <v>102</v>
      </c>
      <c r="X716" s="23"/>
      <c r="Y716" s="23"/>
      <c r="Z716" s="23" t="str">
        <f>TEXT(0.04,"#,##0.#######")</f>
        <v>0.04</v>
      </c>
      <c r="AA716" s="23"/>
      <c r="AB716" s="23"/>
      <c r="AC716" s="23"/>
      <c r="AD716" s="23" t="s">
        <v>243</v>
      </c>
      <c r="AE716" s="23"/>
      <c r="AF716" s="23"/>
      <c r="AG716" s="23" t="s">
        <v>103</v>
      </c>
      <c r="AH716" s="23"/>
      <c r="AI716" s="23" t="str">
        <f>TEXT(TRUNC(P716*Z716,1),"#,##0.#")</f>
        <v>7,944.5</v>
      </c>
      <c r="AJ716" s="23"/>
      <c r="AK716" s="23"/>
      <c r="AL716" s="29"/>
      <c r="AM716" s="29"/>
      <c r="AN716" s="29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  <c r="BO716" s="23"/>
      <c r="BP716" s="23"/>
      <c r="BQ716" s="23"/>
      <c r="BR716" s="23"/>
      <c r="BS716" s="23"/>
      <c r="BT716" s="23"/>
      <c r="BU716" s="23"/>
      <c r="BV716" s="23"/>
      <c r="BW716" s="23"/>
      <c r="BX716" s="23"/>
      <c r="BY716" s="23"/>
      <c r="BZ716" s="23"/>
      <c r="CA716" s="23"/>
      <c r="CB716" s="23"/>
      <c r="CC716" s="23"/>
      <c r="CD716" s="23"/>
      <c r="CE716" s="23"/>
      <c r="CF716" s="23"/>
      <c r="CG716" s="23"/>
      <c r="CH716" s="27"/>
      <c r="CI716" s="64" t="str">
        <f>AI716</f>
        <v>7,944.5</v>
      </c>
      <c r="CJ716" s="27"/>
      <c r="CK716" s="28"/>
      <c r="CL716" s="39"/>
    </row>
    <row r="717" spans="1:90" ht="17.45" customHeight="1" x14ac:dyDescent="0.25">
      <c r="A717" s="20"/>
      <c r="B717" s="31"/>
      <c r="C717" s="30"/>
      <c r="D717" s="34"/>
      <c r="E717" s="34"/>
      <c r="F717" s="34"/>
      <c r="G717" s="23" t="s">
        <v>39</v>
      </c>
      <c r="H717" s="23"/>
      <c r="I717" s="23"/>
      <c r="J717" s="23"/>
      <c r="K717" s="23"/>
      <c r="L717" s="23"/>
      <c r="M717" s="23"/>
      <c r="N717" s="23" t="s">
        <v>43</v>
      </c>
      <c r="O717" s="23"/>
      <c r="P717" s="23" t="str">
        <f>TEXT([1]노임및중기단가!I8,"#,##0")</f>
        <v>138,290</v>
      </c>
      <c r="Q717" s="23"/>
      <c r="R717" s="23"/>
      <c r="S717" s="23"/>
      <c r="T717" s="23"/>
      <c r="U717" s="23"/>
      <c r="V717" s="23"/>
      <c r="W717" s="23" t="s">
        <v>48</v>
      </c>
      <c r="X717" s="23"/>
      <c r="Y717" s="23"/>
      <c r="Z717" s="23" t="str">
        <f>TEXT(0.008,"#,##0.#######")</f>
        <v>0.008</v>
      </c>
      <c r="AA717" s="23"/>
      <c r="AB717" s="23"/>
      <c r="AC717" s="23"/>
      <c r="AD717" s="23" t="s">
        <v>243</v>
      </c>
      <c r="AE717" s="23"/>
      <c r="AF717" s="23"/>
      <c r="AG717" s="23" t="s">
        <v>103</v>
      </c>
      <c r="AH717" s="23"/>
      <c r="AI717" s="23" t="str">
        <f>TEXT(TRUNC(P717*Z717,1),"#,##0.#")</f>
        <v>1,106.3</v>
      </c>
      <c r="AJ717" s="23"/>
      <c r="AK717" s="23"/>
      <c r="AL717" s="29"/>
      <c r="AM717" s="29"/>
      <c r="AN717" s="29"/>
      <c r="AO717" s="23"/>
      <c r="AP717" s="23"/>
      <c r="AQ717" s="23"/>
      <c r="AR717" s="34"/>
      <c r="AS717" s="34"/>
      <c r="AT717" s="34"/>
      <c r="AU717" s="34"/>
      <c r="AV717" s="34"/>
      <c r="AW717" s="34"/>
      <c r="AX717" s="34"/>
      <c r="AY717" s="34"/>
      <c r="AZ717" s="34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  <c r="BO717" s="23"/>
      <c r="BP717" s="23"/>
      <c r="BQ717" s="23"/>
      <c r="BR717" s="23"/>
      <c r="BS717" s="23"/>
      <c r="BT717" s="23"/>
      <c r="BU717" s="23"/>
      <c r="BV717" s="23"/>
      <c r="BW717" s="23"/>
      <c r="BX717" s="23"/>
      <c r="BY717" s="23"/>
      <c r="BZ717" s="23"/>
      <c r="CA717" s="23"/>
      <c r="CB717" s="23"/>
      <c r="CC717" s="23"/>
      <c r="CD717" s="23"/>
      <c r="CE717" s="23"/>
      <c r="CF717" s="23"/>
      <c r="CG717" s="23"/>
      <c r="CH717" s="27"/>
      <c r="CI717" s="64" t="str">
        <f>AI717</f>
        <v>1,106.3</v>
      </c>
      <c r="CJ717" s="27"/>
      <c r="CK717" s="28"/>
      <c r="CL717" s="39"/>
    </row>
    <row r="718" spans="1:90" ht="17.45" customHeight="1" x14ac:dyDescent="0.25">
      <c r="A718" s="20"/>
      <c r="B718" s="31"/>
      <c r="C718" s="30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9"/>
      <c r="AM718" s="29"/>
      <c r="AN718" s="29"/>
      <c r="AO718" s="29"/>
      <c r="AP718" s="29"/>
      <c r="AQ718" s="29"/>
      <c r="AR718" s="29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  <c r="BU718" s="23"/>
      <c r="BV718" s="23"/>
      <c r="BW718" s="23"/>
      <c r="BX718" s="23"/>
      <c r="BY718" s="23"/>
      <c r="BZ718" s="23"/>
      <c r="CA718" s="23"/>
      <c r="CB718" s="23"/>
      <c r="CC718" s="23"/>
      <c r="CD718" s="23"/>
      <c r="CE718" s="23"/>
      <c r="CF718" s="23"/>
      <c r="CG718" s="23"/>
      <c r="CH718" s="27"/>
      <c r="CI718" s="64"/>
      <c r="CJ718" s="27"/>
      <c r="CK718" s="28"/>
      <c r="CL718" s="39"/>
    </row>
    <row r="719" spans="1:90" ht="17.45" customHeight="1" x14ac:dyDescent="0.2">
      <c r="A719" s="20"/>
      <c r="B719" s="31"/>
      <c r="C719" s="30"/>
      <c r="D719" s="23" t="s">
        <v>85</v>
      </c>
      <c r="E719" s="23"/>
      <c r="F719" s="23"/>
      <c r="G719" s="23" t="s">
        <v>323</v>
      </c>
      <c r="H719" s="23"/>
      <c r="I719" s="23"/>
      <c r="J719" s="23"/>
      <c r="K719" s="23" t="s">
        <v>127</v>
      </c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34"/>
      <c r="Z719" s="34"/>
      <c r="AA719" s="34"/>
      <c r="AB719" s="34"/>
      <c r="AC719" s="34"/>
      <c r="AD719" s="34"/>
      <c r="AE719" s="34"/>
      <c r="AF719" s="34"/>
      <c r="AG719" s="34"/>
      <c r="AH719" s="34"/>
      <c r="AI719" s="34"/>
      <c r="AJ719" s="34"/>
      <c r="AK719" s="34"/>
      <c r="AL719" s="34"/>
      <c r="AM719" s="34"/>
      <c r="AN719" s="34"/>
      <c r="AO719" s="34"/>
      <c r="AP719" s="34"/>
      <c r="AQ719" s="34"/>
      <c r="AR719" s="34"/>
      <c r="AS719" s="34"/>
      <c r="AT719" s="34"/>
      <c r="AU719" s="34"/>
      <c r="AV719" s="34"/>
      <c r="AW719" s="34"/>
      <c r="AX719" s="34"/>
      <c r="AY719" s="34"/>
      <c r="AZ719" s="34"/>
      <c r="BA719" s="34"/>
      <c r="BB719" s="34"/>
      <c r="BC719" s="34"/>
      <c r="BD719" s="34"/>
      <c r="BE719" s="23"/>
      <c r="BF719" s="23"/>
      <c r="BG719" s="23"/>
      <c r="BH719" s="23"/>
      <c r="BI719" s="23"/>
      <c r="BJ719" s="23"/>
      <c r="BK719" s="34"/>
      <c r="BL719" s="34"/>
      <c r="BM719" s="34"/>
      <c r="BN719" s="34"/>
      <c r="BO719" s="34"/>
      <c r="BP719" s="34"/>
      <c r="BQ719" s="34"/>
      <c r="BR719" s="34"/>
      <c r="BS719" s="34"/>
      <c r="BT719" s="23"/>
      <c r="BU719" s="23"/>
      <c r="BV719" s="23"/>
      <c r="BW719" s="23"/>
      <c r="BX719" s="23"/>
      <c r="BY719" s="23"/>
      <c r="BZ719" s="23"/>
      <c r="CA719" s="23"/>
      <c r="CB719" s="23"/>
      <c r="CC719" s="23"/>
      <c r="CD719" s="23"/>
      <c r="CE719" s="23"/>
      <c r="CF719" s="23"/>
      <c r="CG719" s="23"/>
      <c r="CH719" s="27"/>
      <c r="CI719" s="64"/>
      <c r="CJ719" s="27"/>
      <c r="CK719" s="28"/>
      <c r="CL719" s="39"/>
    </row>
    <row r="720" spans="1:90" ht="17.45" customHeight="1" x14ac:dyDescent="0.25">
      <c r="A720" s="20"/>
      <c r="B720" s="31"/>
      <c r="C720" s="30"/>
      <c r="D720" s="34"/>
      <c r="E720" s="23"/>
      <c r="F720" s="23"/>
      <c r="G720" s="23"/>
      <c r="H720" s="23" t="s">
        <v>120</v>
      </c>
      <c r="I720" s="23"/>
      <c r="J720" s="23"/>
      <c r="K720" s="23"/>
      <c r="L720" s="23"/>
      <c r="M720" s="23"/>
      <c r="N720" s="23"/>
      <c r="O720" s="23" t="s">
        <v>121</v>
      </c>
      <c r="P720" s="23"/>
      <c r="Q720" s="23" t="str">
        <f>TEXT(AI706,"#,###.##")</f>
        <v>2,979.1</v>
      </c>
      <c r="R720" s="23"/>
      <c r="S720" s="23"/>
      <c r="T720" s="23"/>
      <c r="U720" s="23"/>
      <c r="V720" s="23" t="s">
        <v>97</v>
      </c>
      <c r="W720" s="34"/>
      <c r="X720" s="23" t="str">
        <f>TEXT(AI707,"#,###.##")</f>
        <v>414.8</v>
      </c>
      <c r="Y720" s="34"/>
      <c r="Z720" s="34"/>
      <c r="AA720" s="34"/>
      <c r="AB720" s="23" t="s">
        <v>97</v>
      </c>
      <c r="AC720" s="34"/>
      <c r="AD720" s="23" t="str">
        <f>TEXT(AI716,"#,###.##")</f>
        <v>7,944.5</v>
      </c>
      <c r="AE720" s="34"/>
      <c r="AF720" s="34"/>
      <c r="AG720" s="34"/>
      <c r="AH720" s="34"/>
      <c r="AI720" s="23" t="s">
        <v>97</v>
      </c>
      <c r="AJ720" s="34"/>
      <c r="AK720" s="23" t="str">
        <f>TEXT(AI717,"#,###.##")</f>
        <v>1,106.3</v>
      </c>
      <c r="AL720" s="34"/>
      <c r="AM720" s="34"/>
      <c r="AN720" s="34"/>
      <c r="AO720" s="23" t="s">
        <v>103</v>
      </c>
      <c r="AP720" s="23"/>
      <c r="AQ720" s="23" t="str">
        <f>TEXT(TRUNC(Q720+X720+AD720+AK720+BA720,0),"#,##0")</f>
        <v>12,444</v>
      </c>
      <c r="AR720" s="34"/>
      <c r="AS720" s="34"/>
      <c r="AT720" s="34"/>
      <c r="AU720" s="34"/>
      <c r="AV720" s="34"/>
      <c r="AW720" s="34"/>
      <c r="AX720" s="34"/>
      <c r="AY720" s="23"/>
      <c r="AZ720" s="34"/>
      <c r="BA720" s="23"/>
      <c r="BB720" s="23"/>
      <c r="BC720" s="23"/>
      <c r="BD720" s="23"/>
      <c r="BE720" s="29"/>
      <c r="BF720" s="23"/>
      <c r="BG720" s="34"/>
      <c r="BH720" s="34"/>
      <c r="BI720" s="34"/>
      <c r="BJ720" s="34"/>
      <c r="BK720" s="23"/>
      <c r="BL720" s="23"/>
      <c r="BM720" s="23"/>
      <c r="BN720" s="29"/>
      <c r="BO720" s="23"/>
      <c r="BP720" s="34"/>
      <c r="BQ720" s="34"/>
      <c r="BR720" s="34"/>
      <c r="BS720" s="34"/>
      <c r="BT720" s="29"/>
      <c r="BU720" s="29"/>
      <c r="BV720" s="23"/>
      <c r="BW720" s="23"/>
      <c r="BX720" s="23"/>
      <c r="BY720" s="23"/>
      <c r="BZ720" s="23"/>
      <c r="CA720" s="23"/>
      <c r="CB720" s="23"/>
      <c r="CC720" s="23"/>
      <c r="CD720" s="23"/>
      <c r="CE720" s="23"/>
      <c r="CF720" s="23"/>
      <c r="CG720" s="23"/>
      <c r="CH720" s="27"/>
      <c r="CI720" s="64"/>
      <c r="CJ720" s="27"/>
      <c r="CK720" s="28"/>
      <c r="CL720" s="39"/>
    </row>
    <row r="721" spans="1:90" ht="17.45" customHeight="1" x14ac:dyDescent="0.2">
      <c r="A721" s="20"/>
      <c r="B721" s="31"/>
      <c r="C721" s="30"/>
      <c r="D721" s="23"/>
      <c r="E721" s="23"/>
      <c r="F721" s="23"/>
      <c r="G721" s="23"/>
      <c r="H721" s="23" t="s">
        <v>123</v>
      </c>
      <c r="I721" s="23"/>
      <c r="J721" s="23"/>
      <c r="K721" s="23"/>
      <c r="L721" s="23"/>
      <c r="M721" s="23"/>
      <c r="N721" s="23"/>
      <c r="O721" s="23" t="s">
        <v>121</v>
      </c>
      <c r="P721" s="23"/>
      <c r="Q721" s="23" t="str">
        <f>TEXT(AS701,"#,###.##")</f>
        <v>1,369.3</v>
      </c>
      <c r="R721" s="23"/>
      <c r="S721" s="23"/>
      <c r="T721" s="23"/>
      <c r="U721" s="23"/>
      <c r="V721" s="23" t="s">
        <v>97</v>
      </c>
      <c r="W721" s="23"/>
      <c r="X721" s="23" t="str">
        <f>TEXT(AS702,"#,###.##")</f>
        <v>26.7</v>
      </c>
      <c r="Y721" s="23"/>
      <c r="Z721" s="23"/>
      <c r="AA721" s="23"/>
      <c r="AB721" s="23" t="s">
        <v>97</v>
      </c>
      <c r="AC721" s="34"/>
      <c r="AD721" s="23" t="str">
        <f>TEXT(AS703,"#,###.##")</f>
        <v>41.8</v>
      </c>
      <c r="AE721" s="34"/>
      <c r="AF721" s="34"/>
      <c r="AG721" s="34"/>
      <c r="AH721" s="34"/>
      <c r="AI721" s="23" t="s">
        <v>97</v>
      </c>
      <c r="AJ721" s="34"/>
      <c r="AK721" s="23" t="str">
        <f>TEXT(AS711,"#,###.##")</f>
        <v>717.4</v>
      </c>
      <c r="AL721" s="34"/>
      <c r="AM721" s="34"/>
      <c r="AN721" s="23"/>
      <c r="AO721" s="23" t="s">
        <v>97</v>
      </c>
      <c r="AP721" s="34"/>
      <c r="AQ721" s="23" t="str">
        <f>TEXT(AS712,"#,###.##")</f>
        <v>2.2</v>
      </c>
      <c r="AR721" s="34"/>
      <c r="AS721" s="34"/>
      <c r="AT721" s="23" t="s">
        <v>97</v>
      </c>
      <c r="AU721" s="34"/>
      <c r="AV721" s="23" t="str">
        <f>TEXT(AS713,"#,###.##")</f>
        <v>28.7</v>
      </c>
      <c r="AW721" s="34"/>
      <c r="AX721" s="23" t="s">
        <v>103</v>
      </c>
      <c r="AY721" s="23"/>
      <c r="AZ721" s="23" t="str">
        <f>TEXT(TRUNC(Q721+X721+AD721+AK721+AQ721+AV721,0),"#,##0")</f>
        <v>2,186</v>
      </c>
      <c r="BA721" s="34"/>
      <c r="BB721" s="34"/>
      <c r="BC721" s="34"/>
      <c r="BD721" s="34"/>
      <c r="BE721" s="34"/>
      <c r="BF721" s="34"/>
      <c r="BG721" s="34"/>
      <c r="BH721" s="34"/>
      <c r="BI721" s="34"/>
      <c r="BJ721" s="34"/>
      <c r="BK721" s="23"/>
      <c r="BL721" s="23"/>
      <c r="BM721" s="23"/>
      <c r="BN721" s="23"/>
      <c r="BO721" s="23"/>
      <c r="BP721" s="23"/>
      <c r="BQ721" s="23"/>
      <c r="BR721" s="23"/>
      <c r="BS721" s="23"/>
      <c r="BT721" s="23"/>
      <c r="BU721" s="23"/>
      <c r="BV721" s="23"/>
      <c r="BW721" s="23"/>
      <c r="BX721" s="23"/>
      <c r="BY721" s="23"/>
      <c r="BZ721" s="23"/>
      <c r="CA721" s="23"/>
      <c r="CB721" s="23"/>
      <c r="CC721" s="23"/>
      <c r="CD721" s="23"/>
      <c r="CE721" s="23"/>
      <c r="CF721" s="23"/>
      <c r="CG721" s="23"/>
      <c r="CH721" s="27"/>
      <c r="CI721" s="64"/>
      <c r="CJ721" s="27"/>
      <c r="CK721" s="28"/>
      <c r="CL721" s="39"/>
    </row>
    <row r="722" spans="1:90" ht="17.45" customHeight="1" x14ac:dyDescent="0.25">
      <c r="A722" s="20"/>
      <c r="B722" s="31"/>
      <c r="C722" s="30"/>
      <c r="D722" s="23"/>
      <c r="E722" s="23"/>
      <c r="F722" s="23"/>
      <c r="G722" s="23"/>
      <c r="H722" s="23" t="s">
        <v>124</v>
      </c>
      <c r="I722" s="23"/>
      <c r="J722" s="23"/>
      <c r="K722" s="23"/>
      <c r="L722" s="23" t="s">
        <v>125</v>
      </c>
      <c r="M722" s="23"/>
      <c r="N722" s="23"/>
      <c r="O722" s="23" t="s">
        <v>121</v>
      </c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  <c r="AQ722" s="29"/>
      <c r="AR722" s="29"/>
      <c r="AS722" s="29"/>
      <c r="AT722" s="23"/>
      <c r="AU722" s="29"/>
      <c r="AV722" s="34"/>
      <c r="AW722" s="34"/>
      <c r="AX722" s="34"/>
      <c r="AY722" s="34"/>
      <c r="AZ722" s="34"/>
      <c r="BA722" s="34"/>
      <c r="BB722" s="34"/>
      <c r="BC722" s="34"/>
      <c r="BD722" s="23"/>
      <c r="BE722" s="23"/>
      <c r="BF722" s="23"/>
      <c r="BG722" s="23"/>
      <c r="BH722" s="23"/>
      <c r="BI722" s="23"/>
      <c r="BJ722" s="34"/>
      <c r="BK722" s="23"/>
      <c r="BL722" s="23"/>
      <c r="BM722" s="23"/>
      <c r="BN722" s="23"/>
      <c r="BO722" s="23"/>
      <c r="BP722" s="23"/>
      <c r="BQ722" s="23"/>
      <c r="BR722" s="23"/>
      <c r="BS722" s="23"/>
      <c r="BT722" s="23"/>
      <c r="BU722" s="23"/>
      <c r="BV722" s="23"/>
      <c r="BW722" s="23"/>
      <c r="BX722" s="23"/>
      <c r="BY722" s="23"/>
      <c r="BZ722" s="23"/>
      <c r="CA722" s="23"/>
      <c r="CB722" s="23"/>
      <c r="CC722" s="23"/>
      <c r="CD722" s="23"/>
      <c r="CE722" s="23"/>
      <c r="CF722" s="23"/>
      <c r="CG722" s="23"/>
      <c r="CH722" s="27"/>
      <c r="CI722" s="64"/>
      <c r="CJ722" s="27"/>
      <c r="CK722" s="28"/>
      <c r="CL722" s="39"/>
    </row>
    <row r="723" spans="1:90" ht="17.45" customHeight="1" x14ac:dyDescent="0.25">
      <c r="A723" s="20"/>
      <c r="B723" s="31"/>
      <c r="C723" s="30"/>
      <c r="D723" s="23"/>
      <c r="E723" s="23"/>
      <c r="F723" s="23"/>
      <c r="G723" s="23"/>
      <c r="H723" s="23" t="s">
        <v>126</v>
      </c>
      <c r="I723" s="23"/>
      <c r="J723" s="23"/>
      <c r="K723" s="23"/>
      <c r="L723" s="23" t="s">
        <v>127</v>
      </c>
      <c r="M723" s="23"/>
      <c r="N723" s="23"/>
      <c r="O723" s="23" t="s">
        <v>121</v>
      </c>
      <c r="P723" s="23"/>
      <c r="Q723" s="23" t="str">
        <f>TEXT(AQ720+AZ721,"#,##0")</f>
        <v>14,630</v>
      </c>
      <c r="R723" s="29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  <c r="AT723" s="23"/>
      <c r="AU723" s="23"/>
      <c r="AV723" s="23"/>
      <c r="AW723" s="23"/>
      <c r="AX723" s="23"/>
      <c r="AY723" s="23"/>
      <c r="AZ723" s="23"/>
      <c r="BA723" s="23"/>
      <c r="BB723" s="23"/>
      <c r="BC723" s="23"/>
      <c r="BD723" s="23"/>
      <c r="BE723" s="23"/>
      <c r="BF723" s="23"/>
      <c r="BG723" s="23"/>
      <c r="BH723" s="23"/>
      <c r="BI723" s="23"/>
      <c r="BJ723" s="23"/>
      <c r="BK723" s="23"/>
      <c r="BL723" s="23"/>
      <c r="BM723" s="23"/>
      <c r="BN723" s="23"/>
      <c r="BO723" s="23"/>
      <c r="BP723" s="23"/>
      <c r="BQ723" s="23"/>
      <c r="BR723" s="23"/>
      <c r="BS723" s="23"/>
      <c r="BT723" s="23"/>
      <c r="BU723" s="23"/>
      <c r="BV723" s="23"/>
      <c r="BW723" s="23"/>
      <c r="BX723" s="23"/>
      <c r="BY723" s="23"/>
      <c r="BZ723" s="23"/>
      <c r="CA723" s="23"/>
      <c r="CB723" s="23"/>
      <c r="CC723" s="23"/>
      <c r="CD723" s="23"/>
      <c r="CE723" s="23"/>
      <c r="CF723" s="23"/>
      <c r="CG723" s="23"/>
      <c r="CH723" s="64">
        <f>CI723+CJ723+CK723</f>
        <v>14630</v>
      </c>
      <c r="CI723" s="64" t="str">
        <f>AQ720</f>
        <v>12,444</v>
      </c>
      <c r="CJ723" s="27" t="str">
        <f>AZ721</f>
        <v>2,186</v>
      </c>
      <c r="CK723" s="28">
        <f>BI722</f>
        <v>0</v>
      </c>
      <c r="CL723" s="39"/>
    </row>
    <row r="724" spans="1:90" ht="17.45" customHeight="1" x14ac:dyDescent="0.2">
      <c r="A724" s="20"/>
      <c r="B724" s="31"/>
      <c r="C724" s="30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  <c r="AT724" s="23"/>
      <c r="AU724" s="23"/>
      <c r="AV724" s="23"/>
      <c r="AW724" s="23"/>
      <c r="AX724" s="23"/>
      <c r="AY724" s="23"/>
      <c r="AZ724" s="23"/>
      <c r="BA724" s="23"/>
      <c r="BB724" s="23"/>
      <c r="BC724" s="23"/>
      <c r="BD724" s="23"/>
      <c r="BE724" s="23"/>
      <c r="BF724" s="23"/>
      <c r="BG724" s="23"/>
      <c r="BH724" s="23"/>
      <c r="BI724" s="23"/>
      <c r="BJ724" s="23"/>
      <c r="BK724" s="23"/>
      <c r="BL724" s="23"/>
      <c r="BM724" s="23"/>
      <c r="BN724" s="23"/>
      <c r="BO724" s="23"/>
      <c r="BP724" s="23"/>
      <c r="BQ724" s="23"/>
      <c r="BR724" s="23"/>
      <c r="BS724" s="23"/>
      <c r="BT724" s="23"/>
      <c r="BU724" s="23"/>
      <c r="BV724" s="23"/>
      <c r="BW724" s="23"/>
      <c r="BX724" s="23"/>
      <c r="BY724" s="23"/>
      <c r="BZ724" s="23"/>
      <c r="CA724" s="23"/>
      <c r="CB724" s="23"/>
      <c r="CC724" s="23"/>
      <c r="CD724" s="23"/>
      <c r="CE724" s="23"/>
      <c r="CF724" s="23"/>
      <c r="CG724" s="23"/>
      <c r="CH724" s="27"/>
      <c r="CI724" s="27"/>
      <c r="CJ724" s="27"/>
      <c r="CK724" s="28"/>
      <c r="CL724" s="39"/>
    </row>
    <row r="725" spans="1:90" ht="17.45" customHeight="1" x14ac:dyDescent="0.2">
      <c r="A725" s="20"/>
      <c r="B725" s="46" t="s">
        <v>390</v>
      </c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  <c r="AA725" s="47"/>
      <c r="AB725" s="47"/>
      <c r="AC725" s="47"/>
      <c r="AD725" s="47"/>
      <c r="AE725" s="47"/>
      <c r="AF725" s="47"/>
      <c r="AG725" s="47"/>
      <c r="AH725" s="47"/>
      <c r="AI725" s="47"/>
      <c r="AJ725" s="47"/>
      <c r="AK725" s="47"/>
      <c r="AL725" s="47"/>
      <c r="AM725" s="47"/>
      <c r="AN725" s="47"/>
      <c r="AO725" s="47"/>
      <c r="AP725" s="47"/>
      <c r="AQ725" s="47"/>
      <c r="AR725" s="47"/>
      <c r="AS725" s="47"/>
      <c r="AT725" s="47"/>
      <c r="AU725" s="47"/>
      <c r="AV725" s="47"/>
      <c r="AW725" s="47"/>
      <c r="AX725" s="47"/>
      <c r="AY725" s="47"/>
      <c r="AZ725" s="47"/>
      <c r="BA725" s="47"/>
      <c r="BB725" s="47"/>
      <c r="BC725" s="47"/>
      <c r="BD725" s="47"/>
      <c r="BE725" s="47"/>
      <c r="BF725" s="47"/>
      <c r="BG725" s="47"/>
      <c r="BH725" s="47"/>
      <c r="BI725" s="47"/>
      <c r="BJ725" s="47"/>
      <c r="BK725" s="47"/>
      <c r="BL725" s="47"/>
      <c r="BM725" s="47"/>
      <c r="BN725" s="47"/>
      <c r="BO725" s="47"/>
      <c r="BP725" s="47"/>
      <c r="BQ725" s="47"/>
      <c r="BR725" s="47"/>
      <c r="BS725" s="47"/>
      <c r="BT725" s="47"/>
      <c r="BU725" s="47"/>
      <c r="BV725" s="47"/>
      <c r="BW725" s="47"/>
      <c r="BX725" s="47"/>
      <c r="BY725" s="47"/>
      <c r="BZ725" s="47"/>
      <c r="CA725" s="47"/>
      <c r="CB725" s="47"/>
      <c r="CC725" s="47"/>
      <c r="CD725" s="47"/>
      <c r="CE725" s="47"/>
      <c r="CF725" s="47"/>
      <c r="CG725" s="47"/>
      <c r="CH725" s="65">
        <f>TRUNC(CI725+CJ725+CK725,0)</f>
        <v>13877</v>
      </c>
      <c r="CI725" s="65">
        <f>TRUNC(CI732+CI733+CI742+CI743,0)</f>
        <v>12764</v>
      </c>
      <c r="CJ725" s="66">
        <f>TRUNC(CJ728+CJ729+CJ737+CJ738+CJ739,0)</f>
        <v>1113</v>
      </c>
      <c r="CK725" s="66">
        <f>TRUNC(0)</f>
        <v>0</v>
      </c>
      <c r="CL725" s="97">
        <v>1111</v>
      </c>
    </row>
    <row r="726" spans="1:90" ht="17.45" customHeight="1" x14ac:dyDescent="0.25">
      <c r="A726" s="20"/>
      <c r="B726" s="31"/>
      <c r="C726" s="29"/>
      <c r="D726" s="23" t="s">
        <v>391</v>
      </c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  <c r="AQ726" s="29"/>
      <c r="AR726" s="29"/>
      <c r="AS726" s="29"/>
      <c r="AT726" s="29"/>
      <c r="AU726" s="29"/>
      <c r="AV726" s="29"/>
      <c r="AW726" s="29"/>
      <c r="AX726" s="29"/>
      <c r="AY726" s="29"/>
      <c r="AZ726" s="29"/>
      <c r="BA726" s="29"/>
      <c r="BB726" s="29"/>
      <c r="BC726" s="29"/>
      <c r="BD726" s="29"/>
      <c r="BE726" s="29"/>
      <c r="BF726" s="29"/>
      <c r="BG726" s="29"/>
      <c r="BH726" s="29"/>
      <c r="BI726" s="29"/>
      <c r="BJ726" s="29"/>
      <c r="BK726" s="29"/>
      <c r="BL726" s="29"/>
      <c r="BM726" s="29"/>
      <c r="BN726" s="29"/>
      <c r="BO726" s="29"/>
      <c r="BP726" s="29"/>
      <c r="BQ726" s="29"/>
      <c r="BR726" s="29"/>
      <c r="BS726" s="29"/>
      <c r="BT726" s="29"/>
      <c r="BU726" s="29"/>
      <c r="BV726" s="29"/>
      <c r="BW726" s="29"/>
      <c r="BX726" s="29"/>
      <c r="BY726" s="29"/>
      <c r="BZ726" s="29"/>
      <c r="CA726" s="29"/>
      <c r="CB726" s="29"/>
      <c r="CC726" s="29"/>
      <c r="CD726" s="29"/>
      <c r="CE726" s="29"/>
      <c r="CF726" s="29"/>
      <c r="CG726" s="29"/>
      <c r="CH726" s="36"/>
      <c r="CI726" s="36"/>
      <c r="CJ726" s="36"/>
      <c r="CK726" s="36"/>
      <c r="CL726" s="39" t="s">
        <v>392</v>
      </c>
    </row>
    <row r="727" spans="1:90" ht="17.45" customHeight="1" x14ac:dyDescent="0.2">
      <c r="A727" s="20"/>
      <c r="B727" s="31"/>
      <c r="C727" s="30"/>
      <c r="D727" s="23" t="s">
        <v>94</v>
      </c>
      <c r="E727" s="23"/>
      <c r="F727" s="23"/>
      <c r="G727" s="23" t="s">
        <v>123</v>
      </c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  <c r="AQ727" s="23"/>
      <c r="AR727" s="23"/>
      <c r="AS727" s="23"/>
      <c r="AT727" s="23"/>
      <c r="AU727" s="23"/>
      <c r="AV727" s="23"/>
      <c r="AW727" s="23"/>
      <c r="AX727" s="23"/>
      <c r="AY727" s="23"/>
      <c r="AZ727" s="23"/>
      <c r="BA727" s="23"/>
      <c r="BB727" s="23"/>
      <c r="BC727" s="23"/>
      <c r="BD727" s="23"/>
      <c r="BE727" s="23"/>
      <c r="BF727" s="23"/>
      <c r="BG727" s="23"/>
      <c r="BH727" s="23"/>
      <c r="BI727" s="23"/>
      <c r="BJ727" s="23"/>
      <c r="BK727" s="23"/>
      <c r="BL727" s="23"/>
      <c r="BM727" s="23"/>
      <c r="BN727" s="23"/>
      <c r="BO727" s="23"/>
      <c r="BP727" s="23"/>
      <c r="BQ727" s="23"/>
      <c r="BR727" s="23"/>
      <c r="BS727" s="23"/>
      <c r="BT727" s="23"/>
      <c r="BU727" s="23"/>
      <c r="BV727" s="23"/>
      <c r="BW727" s="23"/>
      <c r="BX727" s="23"/>
      <c r="BY727" s="23"/>
      <c r="BZ727" s="23"/>
      <c r="CA727" s="23"/>
      <c r="CB727" s="23"/>
      <c r="CC727" s="23"/>
      <c r="CD727" s="23"/>
      <c r="CE727" s="23"/>
      <c r="CF727" s="23"/>
      <c r="CG727" s="23"/>
      <c r="CH727" s="27"/>
      <c r="CI727" s="27"/>
      <c r="CJ727" s="27"/>
      <c r="CK727" s="28"/>
      <c r="CL727" s="39"/>
    </row>
    <row r="728" spans="1:90" ht="17.45" customHeight="1" x14ac:dyDescent="0.25">
      <c r="A728" s="20"/>
      <c r="B728" s="31"/>
      <c r="C728" s="30"/>
      <c r="D728" s="23"/>
      <c r="E728" s="23"/>
      <c r="F728" s="23"/>
      <c r="G728" s="23" t="s">
        <v>393</v>
      </c>
      <c r="H728" s="23"/>
      <c r="I728" s="23"/>
      <c r="J728" s="23"/>
      <c r="K728" s="23"/>
      <c r="L728" s="23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3" t="s">
        <v>121</v>
      </c>
      <c r="X728" s="29"/>
      <c r="Y728" s="29"/>
      <c r="Z728" s="23" t="str">
        <f>TEXT([1]자재단가!$M$94,"#,##0.#######")</f>
        <v>3,300.</v>
      </c>
      <c r="AA728" s="23"/>
      <c r="AB728" s="23"/>
      <c r="AC728" s="23"/>
      <c r="AD728" s="23"/>
      <c r="AE728" s="23"/>
      <c r="AF728" s="23" t="s">
        <v>102</v>
      </c>
      <c r="AG728" s="23"/>
      <c r="AH728" s="23"/>
      <c r="AI728" s="23" t="str">
        <f>TEXT(0.05,"#,##0.#######")</f>
        <v>0.05</v>
      </c>
      <c r="AJ728" s="23"/>
      <c r="AK728" s="23"/>
      <c r="AL728" s="38" t="s">
        <v>270</v>
      </c>
      <c r="AM728" s="29"/>
      <c r="AN728" s="38"/>
      <c r="AO728" s="23"/>
      <c r="AP728" s="23"/>
      <c r="AQ728" s="23" t="s">
        <v>103</v>
      </c>
      <c r="AR728" s="23"/>
      <c r="AS728" s="23" t="str">
        <f>TEXT(TRUNC(Z728*AI728,1),"#,##0.#")</f>
        <v>165.</v>
      </c>
      <c r="AT728" s="23"/>
      <c r="AU728" s="29"/>
      <c r="AV728" s="29"/>
      <c r="AW728" s="29"/>
      <c r="AX728" s="29"/>
      <c r="AY728" s="29"/>
      <c r="AZ728" s="29"/>
      <c r="BA728" s="29"/>
      <c r="BB728" s="29"/>
      <c r="BC728" s="29"/>
      <c r="BD728" s="29"/>
      <c r="BE728" s="29"/>
      <c r="BF728" s="29"/>
      <c r="BG728" s="29"/>
      <c r="BH728" s="29"/>
      <c r="BI728" s="29"/>
      <c r="BJ728" s="29"/>
      <c r="BK728" s="29"/>
      <c r="BL728" s="29"/>
      <c r="BM728" s="29"/>
      <c r="BN728" s="23"/>
      <c r="BO728" s="23"/>
      <c r="BP728" s="23"/>
      <c r="BQ728" s="23"/>
      <c r="BR728" s="29"/>
      <c r="BS728" s="29"/>
      <c r="BT728" s="29"/>
      <c r="BU728" s="29"/>
      <c r="BV728" s="23"/>
      <c r="BW728" s="23"/>
      <c r="BX728" s="23"/>
      <c r="BY728" s="23"/>
      <c r="BZ728" s="23"/>
      <c r="CA728" s="23"/>
      <c r="CB728" s="23"/>
      <c r="CC728" s="23"/>
      <c r="CD728" s="23"/>
      <c r="CE728" s="23"/>
      <c r="CF728" s="23"/>
      <c r="CG728" s="23"/>
      <c r="CH728" s="27"/>
      <c r="CI728" s="27"/>
      <c r="CJ728" s="27" t="str">
        <f>AS728</f>
        <v>165.</v>
      </c>
      <c r="CK728" s="28"/>
      <c r="CL728" s="39"/>
    </row>
    <row r="729" spans="1:90" ht="17.45" customHeight="1" x14ac:dyDescent="0.25">
      <c r="A729" s="20"/>
      <c r="B729" s="31"/>
      <c r="C729" s="30"/>
      <c r="D729" s="23"/>
      <c r="E729" s="23"/>
      <c r="F729" s="23"/>
      <c r="G729" s="23" t="s">
        <v>394</v>
      </c>
      <c r="H729" s="23"/>
      <c r="I729" s="23"/>
      <c r="J729" s="23"/>
      <c r="K729" s="23"/>
      <c r="L729" s="23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3" t="s">
        <v>121</v>
      </c>
      <c r="X729" s="29"/>
      <c r="Y729" s="29"/>
      <c r="Z729" s="23" t="str">
        <f>TEXT([1]자재단가!$M$95,"#,##0.#######")</f>
        <v>260.</v>
      </c>
      <c r="AA729" s="23"/>
      <c r="AB729" s="23"/>
      <c r="AC729" s="23"/>
      <c r="AD729" s="23"/>
      <c r="AE729" s="23"/>
      <c r="AF729" s="23" t="s">
        <v>102</v>
      </c>
      <c r="AG729" s="23"/>
      <c r="AH729" s="23"/>
      <c r="AI729" s="23" t="str">
        <f>TEXT(0.1,"#,##0.#######")</f>
        <v>0.1</v>
      </c>
      <c r="AJ729" s="23"/>
      <c r="AK729" s="23"/>
      <c r="AL729" s="38" t="s">
        <v>395</v>
      </c>
      <c r="AM729" s="29"/>
      <c r="AN729" s="38"/>
      <c r="AO729" s="23"/>
      <c r="AP729" s="23"/>
      <c r="AQ729" s="23" t="s">
        <v>103</v>
      </c>
      <c r="AR729" s="23"/>
      <c r="AS729" s="23" t="str">
        <f>TEXT(TRUNC(Z729*AI729,1),"#,##0.#")</f>
        <v>26.</v>
      </c>
      <c r="AT729" s="23"/>
      <c r="AU729" s="29"/>
      <c r="AV729" s="29"/>
      <c r="AW729" s="29"/>
      <c r="AX729" s="29"/>
      <c r="AY729" s="29"/>
      <c r="AZ729" s="29"/>
      <c r="BA729" s="29"/>
      <c r="BB729" s="29"/>
      <c r="BC729" s="29"/>
      <c r="BD729" s="29"/>
      <c r="BE729" s="29"/>
      <c r="BF729" s="29"/>
      <c r="BG729" s="29"/>
      <c r="BH729" s="29"/>
      <c r="BI729" s="29"/>
      <c r="BJ729" s="29"/>
      <c r="BK729" s="29"/>
      <c r="BL729" s="29"/>
      <c r="BM729" s="29"/>
      <c r="BN729" s="23"/>
      <c r="BO729" s="23"/>
      <c r="BP729" s="23"/>
      <c r="BQ729" s="23"/>
      <c r="BR729" s="29"/>
      <c r="BS729" s="29"/>
      <c r="BT729" s="29"/>
      <c r="BU729" s="29"/>
      <c r="BV729" s="23"/>
      <c r="BW729" s="23"/>
      <c r="BX729" s="23"/>
      <c r="BY729" s="23"/>
      <c r="BZ729" s="23"/>
      <c r="CA729" s="23"/>
      <c r="CB729" s="23"/>
      <c r="CC729" s="23"/>
      <c r="CD729" s="23"/>
      <c r="CE729" s="23"/>
      <c r="CF729" s="23"/>
      <c r="CG729" s="23"/>
      <c r="CH729" s="27"/>
      <c r="CI729" s="27"/>
      <c r="CJ729" s="27" t="str">
        <f>AS729</f>
        <v>26.</v>
      </c>
      <c r="CK729" s="28"/>
      <c r="CL729" s="39"/>
    </row>
    <row r="730" spans="1:90" ht="17.45" customHeight="1" x14ac:dyDescent="0.25">
      <c r="A730" s="20"/>
      <c r="B730" s="31"/>
      <c r="C730" s="30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9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9"/>
      <c r="AR730" s="29"/>
      <c r="AS730" s="29"/>
      <c r="AT730" s="23"/>
      <c r="AU730" s="23"/>
      <c r="AV730" s="23"/>
      <c r="AW730" s="23"/>
      <c r="AX730" s="23"/>
      <c r="AY730" s="23"/>
      <c r="AZ730" s="23"/>
      <c r="BA730" s="23"/>
      <c r="BB730" s="29"/>
      <c r="BC730" s="29"/>
      <c r="BD730" s="29"/>
      <c r="BE730" s="29"/>
      <c r="BF730" s="29"/>
      <c r="BG730" s="29"/>
      <c r="BH730" s="29"/>
      <c r="BI730" s="23"/>
      <c r="BJ730" s="23"/>
      <c r="BK730" s="23"/>
      <c r="BL730" s="23"/>
      <c r="BM730" s="23"/>
      <c r="BN730" s="23"/>
      <c r="BO730" s="23"/>
      <c r="BP730" s="23"/>
      <c r="BQ730" s="23"/>
      <c r="BR730" s="29"/>
      <c r="BS730" s="29"/>
      <c r="BT730" s="29"/>
      <c r="BU730" s="29"/>
      <c r="BV730" s="23"/>
      <c r="BW730" s="23"/>
      <c r="BX730" s="23"/>
      <c r="BY730" s="23"/>
      <c r="BZ730" s="23"/>
      <c r="CA730" s="23"/>
      <c r="CB730" s="23"/>
      <c r="CC730" s="23"/>
      <c r="CD730" s="23"/>
      <c r="CE730" s="23"/>
      <c r="CF730" s="23"/>
      <c r="CG730" s="23"/>
      <c r="CH730" s="27"/>
      <c r="CI730" s="27"/>
      <c r="CJ730" s="27"/>
      <c r="CK730" s="28"/>
      <c r="CL730" s="39"/>
    </row>
    <row r="731" spans="1:90" ht="17.45" customHeight="1" x14ac:dyDescent="0.2">
      <c r="A731" s="20"/>
      <c r="B731" s="31"/>
      <c r="C731" s="30"/>
      <c r="D731" s="23" t="s">
        <v>168</v>
      </c>
      <c r="E731" s="23"/>
      <c r="F731" s="23"/>
      <c r="G731" s="23" t="s">
        <v>161</v>
      </c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  <c r="AQ731" s="23"/>
      <c r="AR731" s="23"/>
      <c r="AS731" s="23"/>
      <c r="AT731" s="23"/>
      <c r="AU731" s="23"/>
      <c r="AV731" s="23"/>
      <c r="AW731" s="23"/>
      <c r="AX731" s="23"/>
      <c r="AY731" s="23"/>
      <c r="AZ731" s="23"/>
      <c r="BA731" s="23"/>
      <c r="BB731" s="23"/>
      <c r="BC731" s="23"/>
      <c r="BD731" s="23"/>
      <c r="BE731" s="23"/>
      <c r="BF731" s="23"/>
      <c r="BG731" s="23"/>
      <c r="BH731" s="23"/>
      <c r="BI731" s="23"/>
      <c r="BJ731" s="23"/>
      <c r="BK731" s="23"/>
      <c r="BL731" s="23"/>
      <c r="BM731" s="23"/>
      <c r="BN731" s="23"/>
      <c r="BO731" s="23"/>
      <c r="BP731" s="23"/>
      <c r="BQ731" s="23"/>
      <c r="BR731" s="23"/>
      <c r="BS731" s="23"/>
      <c r="BT731" s="23"/>
      <c r="BU731" s="23"/>
      <c r="BV731" s="23"/>
      <c r="BW731" s="23"/>
      <c r="BX731" s="23"/>
      <c r="BY731" s="23"/>
      <c r="BZ731" s="23"/>
      <c r="CA731" s="23"/>
      <c r="CB731" s="23"/>
      <c r="CC731" s="23"/>
      <c r="CD731" s="23"/>
      <c r="CE731" s="23"/>
      <c r="CF731" s="23"/>
      <c r="CG731" s="23"/>
      <c r="CH731" s="27"/>
      <c r="CI731" s="27"/>
      <c r="CJ731" s="27"/>
      <c r="CK731" s="28"/>
      <c r="CL731" s="39"/>
    </row>
    <row r="732" spans="1:90" ht="17.45" customHeight="1" x14ac:dyDescent="0.25">
      <c r="A732" s="20"/>
      <c r="B732" s="31"/>
      <c r="C732" s="30"/>
      <c r="D732" s="23"/>
      <c r="E732" s="23"/>
      <c r="F732" s="23"/>
      <c r="G732" s="23" t="s">
        <v>386</v>
      </c>
      <c r="H732" s="23"/>
      <c r="I732" s="23"/>
      <c r="J732" s="23"/>
      <c r="K732" s="23"/>
      <c r="L732" s="23"/>
      <c r="M732" s="23"/>
      <c r="N732" s="23" t="s">
        <v>121</v>
      </c>
      <c r="O732" s="23"/>
      <c r="P732" s="23" t="str">
        <f>TEXT([1]노임및중기단가!$I$17,"#,##0")</f>
        <v>198,613</v>
      </c>
      <c r="Q732" s="23"/>
      <c r="R732" s="23"/>
      <c r="S732" s="23"/>
      <c r="T732" s="23"/>
      <c r="U732" s="23"/>
      <c r="V732" s="23"/>
      <c r="W732" s="23" t="s">
        <v>102</v>
      </c>
      <c r="X732" s="23"/>
      <c r="Y732" s="23"/>
      <c r="Z732" s="23" t="str">
        <f>TEXT(0.01,"#,##0.#######")</f>
        <v>0.01</v>
      </c>
      <c r="AA732" s="23"/>
      <c r="AB732" s="23"/>
      <c r="AC732" s="23"/>
      <c r="AD732" s="23" t="s">
        <v>243</v>
      </c>
      <c r="AE732" s="23"/>
      <c r="AF732" s="23"/>
      <c r="AG732" s="23" t="s">
        <v>103</v>
      </c>
      <c r="AH732" s="23"/>
      <c r="AI732" s="23" t="str">
        <f>TEXT(TRUNC(P732*Z732,1),"#,##0.#")</f>
        <v>1,986.1</v>
      </c>
      <c r="AJ732" s="23"/>
      <c r="AK732" s="23"/>
      <c r="AL732" s="29"/>
      <c r="AM732" s="29"/>
      <c r="AN732" s="29"/>
      <c r="AO732" s="23"/>
      <c r="AP732" s="23"/>
      <c r="AQ732" s="23"/>
      <c r="AR732" s="23"/>
      <c r="AS732" s="23"/>
      <c r="AT732" s="23"/>
      <c r="AU732" s="23"/>
      <c r="AV732" s="23"/>
      <c r="AW732" s="23"/>
      <c r="AX732" s="23"/>
      <c r="AY732" s="23"/>
      <c r="AZ732" s="23"/>
      <c r="BA732" s="23"/>
      <c r="BB732" s="23"/>
      <c r="BC732" s="23"/>
      <c r="BD732" s="23"/>
      <c r="BE732" s="23"/>
      <c r="BF732" s="23"/>
      <c r="BG732" s="23"/>
      <c r="BH732" s="23"/>
      <c r="BI732" s="23"/>
      <c r="BJ732" s="23"/>
      <c r="BK732" s="23"/>
      <c r="BL732" s="23"/>
      <c r="BM732" s="23"/>
      <c r="BN732" s="23"/>
      <c r="BO732" s="23"/>
      <c r="BP732" s="23"/>
      <c r="BQ732" s="23"/>
      <c r="BR732" s="23"/>
      <c r="BS732" s="23"/>
      <c r="BT732" s="23"/>
      <c r="BU732" s="23"/>
      <c r="BV732" s="23"/>
      <c r="BW732" s="23"/>
      <c r="BX732" s="23"/>
      <c r="BY732" s="23"/>
      <c r="BZ732" s="23"/>
      <c r="CA732" s="23"/>
      <c r="CB732" s="23"/>
      <c r="CC732" s="23"/>
      <c r="CD732" s="23"/>
      <c r="CE732" s="23"/>
      <c r="CF732" s="23"/>
      <c r="CG732" s="23"/>
      <c r="CH732" s="27"/>
      <c r="CI732" s="64" t="str">
        <f>AI732</f>
        <v>1,986.1</v>
      </c>
      <c r="CJ732" s="27"/>
      <c r="CK732" s="28"/>
      <c r="CL732" s="39"/>
    </row>
    <row r="733" spans="1:90" ht="17.45" customHeight="1" x14ac:dyDescent="0.25">
      <c r="A733" s="20"/>
      <c r="B733" s="31"/>
      <c r="C733" s="30"/>
      <c r="D733" s="34"/>
      <c r="E733" s="34"/>
      <c r="F733" s="34"/>
      <c r="G733" s="23" t="s">
        <v>322</v>
      </c>
      <c r="H733" s="23"/>
      <c r="I733" s="23"/>
      <c r="J733" s="23"/>
      <c r="K733" s="23"/>
      <c r="L733" s="23"/>
      <c r="M733" s="23"/>
      <c r="N733" s="23" t="s">
        <v>121</v>
      </c>
      <c r="O733" s="23"/>
      <c r="P733" s="23" t="str">
        <f>TEXT([1]노임및중기단가!$I$8,"#,##0")</f>
        <v>138,290</v>
      </c>
      <c r="Q733" s="23"/>
      <c r="R733" s="23"/>
      <c r="S733" s="23"/>
      <c r="T733" s="23"/>
      <c r="U733" s="23"/>
      <c r="V733" s="23"/>
      <c r="W733" s="23" t="s">
        <v>102</v>
      </c>
      <c r="X733" s="23"/>
      <c r="Y733" s="23"/>
      <c r="Z733" s="23" t="str">
        <f>TEXT(0.001,"#,##0.#######")</f>
        <v>0.001</v>
      </c>
      <c r="AA733" s="23"/>
      <c r="AB733" s="23"/>
      <c r="AC733" s="23"/>
      <c r="AD733" s="23" t="s">
        <v>243</v>
      </c>
      <c r="AE733" s="23"/>
      <c r="AF733" s="23"/>
      <c r="AG733" s="23" t="s">
        <v>103</v>
      </c>
      <c r="AH733" s="23"/>
      <c r="AI733" s="23" t="str">
        <f>TEXT(TRUNC(P733*Z733,1),"#,##0.#")</f>
        <v>138.2</v>
      </c>
      <c r="AJ733" s="23"/>
      <c r="AK733" s="23"/>
      <c r="AL733" s="29"/>
      <c r="AM733" s="29"/>
      <c r="AN733" s="29"/>
      <c r="AO733" s="23"/>
      <c r="AP733" s="23"/>
      <c r="AQ733" s="23"/>
      <c r="AR733" s="34"/>
      <c r="AS733" s="34"/>
      <c r="AT733" s="34"/>
      <c r="AU733" s="34"/>
      <c r="AV733" s="34"/>
      <c r="AW733" s="34"/>
      <c r="AX733" s="34"/>
      <c r="AY733" s="34"/>
      <c r="AZ733" s="34"/>
      <c r="BA733" s="34"/>
      <c r="BB733" s="34"/>
      <c r="BC733" s="34"/>
      <c r="BD733" s="34"/>
      <c r="BE733" s="34"/>
      <c r="BF733" s="34"/>
      <c r="BG733" s="34"/>
      <c r="BH733" s="34"/>
      <c r="BI733" s="34"/>
      <c r="BJ733" s="34"/>
      <c r="BK733" s="34"/>
      <c r="BL733" s="34"/>
      <c r="BM733" s="34"/>
      <c r="BN733" s="34"/>
      <c r="BO733" s="34"/>
      <c r="BP733" s="34"/>
      <c r="BQ733" s="34"/>
      <c r="BR733" s="34"/>
      <c r="BS733" s="34"/>
      <c r="BT733" s="34"/>
      <c r="BU733" s="34"/>
      <c r="BV733" s="34"/>
      <c r="BW733" s="34"/>
      <c r="BX733" s="34"/>
      <c r="BY733" s="34"/>
      <c r="BZ733" s="34"/>
      <c r="CA733" s="34"/>
      <c r="CB733" s="34"/>
      <c r="CC733" s="34"/>
      <c r="CD733" s="34"/>
      <c r="CE733" s="34"/>
      <c r="CF733" s="34"/>
      <c r="CG733" s="34"/>
      <c r="CH733" s="27"/>
      <c r="CI733" s="64" t="str">
        <f>AI733</f>
        <v>138.2</v>
      </c>
      <c r="CJ733" s="27"/>
      <c r="CK733" s="28"/>
      <c r="CL733" s="39"/>
    </row>
    <row r="734" spans="1:90" ht="17.45" customHeight="1" x14ac:dyDescent="0.25">
      <c r="A734" s="20"/>
      <c r="B734" s="31"/>
      <c r="C734" s="30"/>
      <c r="D734" s="34"/>
      <c r="E734" s="34"/>
      <c r="F734" s="34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9"/>
      <c r="AM734" s="29"/>
      <c r="AN734" s="29"/>
      <c r="AO734" s="23"/>
      <c r="AP734" s="23"/>
      <c r="AQ734" s="23"/>
      <c r="AR734" s="34"/>
      <c r="AS734" s="34"/>
      <c r="AT734" s="34"/>
      <c r="AU734" s="34"/>
      <c r="AV734" s="34"/>
      <c r="AW734" s="34"/>
      <c r="AX734" s="34"/>
      <c r="AY734" s="34"/>
      <c r="AZ734" s="34"/>
      <c r="BA734" s="34"/>
      <c r="BB734" s="34"/>
      <c r="BC734" s="34"/>
      <c r="BD734" s="34"/>
      <c r="BE734" s="34"/>
      <c r="BF734" s="34"/>
      <c r="BG734" s="34"/>
      <c r="BH734" s="34"/>
      <c r="BI734" s="34"/>
      <c r="BJ734" s="34"/>
      <c r="BK734" s="34"/>
      <c r="BL734" s="34"/>
      <c r="BM734" s="34"/>
      <c r="BN734" s="34"/>
      <c r="BO734" s="34"/>
      <c r="BP734" s="34"/>
      <c r="BQ734" s="34"/>
      <c r="BR734" s="34"/>
      <c r="BS734" s="34"/>
      <c r="BT734" s="34"/>
      <c r="BU734" s="34"/>
      <c r="BV734" s="34"/>
      <c r="BW734" s="34"/>
      <c r="BX734" s="34"/>
      <c r="BY734" s="34"/>
      <c r="BZ734" s="34"/>
      <c r="CA734" s="34"/>
      <c r="CB734" s="34"/>
      <c r="CC734" s="34"/>
      <c r="CD734" s="34"/>
      <c r="CE734" s="34"/>
      <c r="CF734" s="34"/>
      <c r="CG734" s="34"/>
      <c r="CH734" s="27"/>
      <c r="CI734" s="64"/>
      <c r="CJ734" s="27"/>
      <c r="CK734" s="28"/>
      <c r="CL734" s="39"/>
    </row>
    <row r="735" spans="1:90" ht="17.45" customHeight="1" x14ac:dyDescent="0.25">
      <c r="A735" s="20"/>
      <c r="B735" s="31"/>
      <c r="C735" s="30"/>
      <c r="D735" s="23" t="s">
        <v>387</v>
      </c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  <c r="AQ735" s="29"/>
      <c r="AR735" s="29"/>
      <c r="AS735" s="29"/>
      <c r="AT735" s="29"/>
      <c r="AU735" s="29"/>
      <c r="AV735" s="29"/>
      <c r="AW735" s="29"/>
      <c r="AX735" s="29"/>
      <c r="AY735" s="29"/>
      <c r="AZ735" s="29"/>
      <c r="BA735" s="34"/>
      <c r="BB735" s="34"/>
      <c r="BC735" s="34"/>
      <c r="BD735" s="34"/>
      <c r="BE735" s="34"/>
      <c r="BF735" s="34"/>
      <c r="BG735" s="34"/>
      <c r="BH735" s="34"/>
      <c r="BI735" s="34"/>
      <c r="BJ735" s="34"/>
      <c r="BK735" s="34"/>
      <c r="BL735" s="34"/>
      <c r="BM735" s="34"/>
      <c r="BN735" s="34"/>
      <c r="BO735" s="34"/>
      <c r="BP735" s="34"/>
      <c r="BQ735" s="34"/>
      <c r="BR735" s="34"/>
      <c r="BS735" s="34"/>
      <c r="BT735" s="34"/>
      <c r="BU735" s="34"/>
      <c r="BV735" s="34"/>
      <c r="BW735" s="34"/>
      <c r="BX735" s="34"/>
      <c r="BY735" s="34"/>
      <c r="BZ735" s="34"/>
      <c r="CA735" s="34"/>
      <c r="CB735" s="34"/>
      <c r="CC735" s="34"/>
      <c r="CD735" s="34"/>
      <c r="CE735" s="34"/>
      <c r="CF735" s="34"/>
      <c r="CG735" s="34"/>
      <c r="CH735" s="27"/>
      <c r="CI735" s="64"/>
      <c r="CJ735" s="27"/>
      <c r="CK735" s="28"/>
      <c r="CL735" s="39"/>
    </row>
    <row r="736" spans="1:90" ht="17.45" customHeight="1" x14ac:dyDescent="0.2">
      <c r="A736" s="20"/>
      <c r="B736" s="31"/>
      <c r="C736" s="30"/>
      <c r="D736" s="23" t="s">
        <v>94</v>
      </c>
      <c r="E736" s="23"/>
      <c r="F736" s="23"/>
      <c r="G736" s="23" t="s">
        <v>123</v>
      </c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  <c r="AT736" s="23"/>
      <c r="AU736" s="23"/>
      <c r="AV736" s="23"/>
      <c r="AW736" s="23"/>
      <c r="AX736" s="23"/>
      <c r="AY736" s="23"/>
      <c r="AZ736" s="23"/>
      <c r="BA736" s="34"/>
      <c r="BB736" s="34"/>
      <c r="BC736" s="34"/>
      <c r="BD736" s="34"/>
      <c r="BE736" s="34"/>
      <c r="BF736" s="34"/>
      <c r="BG736" s="34"/>
      <c r="BH736" s="34"/>
      <c r="BI736" s="34"/>
      <c r="BJ736" s="34"/>
      <c r="BK736" s="34"/>
      <c r="BL736" s="34"/>
      <c r="BM736" s="34"/>
      <c r="BN736" s="34"/>
      <c r="BO736" s="34"/>
      <c r="BP736" s="34"/>
      <c r="BQ736" s="34"/>
      <c r="BR736" s="34"/>
      <c r="BS736" s="34"/>
      <c r="BT736" s="34"/>
      <c r="BU736" s="34"/>
      <c r="BV736" s="34"/>
      <c r="BW736" s="34"/>
      <c r="BX736" s="34"/>
      <c r="BY736" s="34"/>
      <c r="BZ736" s="34"/>
      <c r="CA736" s="34"/>
      <c r="CB736" s="34"/>
      <c r="CC736" s="34"/>
      <c r="CD736" s="34"/>
      <c r="CE736" s="34"/>
      <c r="CF736" s="34"/>
      <c r="CG736" s="34"/>
      <c r="CH736" s="27"/>
      <c r="CI736" s="64"/>
      <c r="CJ736" s="27"/>
      <c r="CK736" s="28"/>
      <c r="CL736" s="39"/>
    </row>
    <row r="737" spans="1:90" ht="17.45" customHeight="1" x14ac:dyDescent="0.25">
      <c r="A737" s="20"/>
      <c r="B737" s="31"/>
      <c r="C737" s="30"/>
      <c r="D737" s="23"/>
      <c r="E737" s="23"/>
      <c r="F737" s="23"/>
      <c r="G737" s="23" t="s">
        <v>388</v>
      </c>
      <c r="H737" s="23"/>
      <c r="I737" s="23"/>
      <c r="J737" s="23"/>
      <c r="K737" s="23"/>
      <c r="L737" s="23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3" t="s">
        <v>121</v>
      </c>
      <c r="X737" s="29"/>
      <c r="Y737" s="29"/>
      <c r="Z737" s="23" t="str">
        <f>TEXT([1]자재단가!M96,"#,##0.#######")</f>
        <v>4,322.</v>
      </c>
      <c r="AA737" s="23"/>
      <c r="AB737" s="23"/>
      <c r="AC737" s="23"/>
      <c r="AD737" s="23"/>
      <c r="AE737" s="23"/>
      <c r="AF737" s="23" t="s">
        <v>102</v>
      </c>
      <c r="AG737" s="23"/>
      <c r="AH737" s="23"/>
      <c r="AI737" s="23" t="str">
        <f>TEXT(0.199,"#,##0.#######")</f>
        <v>0.199</v>
      </c>
      <c r="AJ737" s="23"/>
      <c r="AK737" s="23"/>
      <c r="AL737" s="34"/>
      <c r="AM737" s="34"/>
      <c r="AN737" s="38" t="s">
        <v>354</v>
      </c>
      <c r="AO737" s="38"/>
      <c r="AP737" s="23"/>
      <c r="AQ737" s="23" t="s">
        <v>103</v>
      </c>
      <c r="AR737" s="23"/>
      <c r="AS737" s="23" t="str">
        <f>TEXT(TRUNC(Z737*AI737,1),"#,##0.#")</f>
        <v>860.</v>
      </c>
      <c r="AT737" s="23"/>
      <c r="AU737" s="29"/>
      <c r="AV737" s="29"/>
      <c r="AW737" s="29"/>
      <c r="AX737" s="29"/>
      <c r="AY737" s="29"/>
      <c r="AZ737" s="29"/>
      <c r="BA737" s="34"/>
      <c r="BB737" s="34"/>
      <c r="BC737" s="34"/>
      <c r="BD737" s="34"/>
      <c r="BE737" s="34"/>
      <c r="BF737" s="34"/>
      <c r="BG737" s="34"/>
      <c r="BH737" s="34"/>
      <c r="BI737" s="34"/>
      <c r="BJ737" s="34"/>
      <c r="BK737" s="34"/>
      <c r="BL737" s="34"/>
      <c r="BM737" s="34"/>
      <c r="BN737" s="34"/>
      <c r="BO737" s="34"/>
      <c r="BP737" s="34"/>
      <c r="BQ737" s="34"/>
      <c r="BR737" s="34"/>
      <c r="BS737" s="34"/>
      <c r="BT737" s="34"/>
      <c r="BU737" s="34"/>
      <c r="BV737" s="34"/>
      <c r="BW737" s="34"/>
      <c r="BX737" s="34"/>
      <c r="BY737" s="34"/>
      <c r="BZ737" s="34"/>
      <c r="CA737" s="34"/>
      <c r="CB737" s="34"/>
      <c r="CC737" s="34"/>
      <c r="CD737" s="34"/>
      <c r="CE737" s="34"/>
      <c r="CF737" s="34"/>
      <c r="CG737" s="34"/>
      <c r="CH737" s="27"/>
      <c r="CI737" s="64"/>
      <c r="CJ737" s="27" t="str">
        <f>AS737</f>
        <v>860.</v>
      </c>
      <c r="CK737" s="28"/>
      <c r="CL737" s="39"/>
    </row>
    <row r="738" spans="1:90" ht="17.45" customHeight="1" x14ac:dyDescent="0.25">
      <c r="A738" s="20"/>
      <c r="B738" s="31"/>
      <c r="C738" s="30"/>
      <c r="D738" s="23"/>
      <c r="E738" s="23"/>
      <c r="F738" s="23"/>
      <c r="G738" s="23" t="s">
        <v>384</v>
      </c>
      <c r="H738" s="23"/>
      <c r="I738" s="23"/>
      <c r="J738" s="23"/>
      <c r="K738" s="23"/>
      <c r="L738" s="23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3" t="s">
        <v>121</v>
      </c>
      <c r="X738" s="29"/>
      <c r="Y738" s="29"/>
      <c r="Z738" s="23" t="str">
        <f>TEXT([1]자재단가!$M$98,"#,##0.#######")</f>
        <v>3,338.</v>
      </c>
      <c r="AA738" s="23"/>
      <c r="AB738" s="23"/>
      <c r="AC738" s="23"/>
      <c r="AD738" s="23"/>
      <c r="AE738" s="23"/>
      <c r="AF738" s="23" t="s">
        <v>102</v>
      </c>
      <c r="AG738" s="23"/>
      <c r="AH738" s="23"/>
      <c r="AI738" s="23" t="str">
        <f>TEXT(0.008,"#,##0.#######")</f>
        <v>0.008</v>
      </c>
      <c r="AJ738" s="23"/>
      <c r="AK738" s="23"/>
      <c r="AL738" s="29"/>
      <c r="AM738" s="29"/>
      <c r="AN738" s="38" t="s">
        <v>354</v>
      </c>
      <c r="AO738" s="23"/>
      <c r="AP738" s="23"/>
      <c r="AQ738" s="23" t="s">
        <v>103</v>
      </c>
      <c r="AR738" s="23"/>
      <c r="AS738" s="23" t="str">
        <f>TEXT(TRUNC(Z738*AI738,1),"#,##0.#")</f>
        <v>26.7</v>
      </c>
      <c r="AT738" s="23"/>
      <c r="AU738" s="29"/>
      <c r="AV738" s="29"/>
      <c r="AW738" s="29"/>
      <c r="AX738" s="29"/>
      <c r="AY738" s="29"/>
      <c r="AZ738" s="29"/>
      <c r="BA738" s="34"/>
      <c r="BB738" s="34"/>
      <c r="BC738" s="34"/>
      <c r="BD738" s="34"/>
      <c r="BE738" s="34"/>
      <c r="BF738" s="34"/>
      <c r="BG738" s="34"/>
      <c r="BH738" s="34"/>
      <c r="BI738" s="34"/>
      <c r="BJ738" s="34"/>
      <c r="BK738" s="34"/>
      <c r="BL738" s="34"/>
      <c r="BM738" s="34"/>
      <c r="BN738" s="34"/>
      <c r="BO738" s="34"/>
      <c r="BP738" s="34"/>
      <c r="BQ738" s="34"/>
      <c r="BR738" s="34"/>
      <c r="BS738" s="34"/>
      <c r="BT738" s="34"/>
      <c r="BU738" s="34"/>
      <c r="BV738" s="34"/>
      <c r="BW738" s="34"/>
      <c r="BX738" s="34"/>
      <c r="BY738" s="34"/>
      <c r="BZ738" s="34"/>
      <c r="CA738" s="34"/>
      <c r="CB738" s="34"/>
      <c r="CC738" s="34"/>
      <c r="CD738" s="34"/>
      <c r="CE738" s="34"/>
      <c r="CF738" s="34"/>
      <c r="CG738" s="34"/>
      <c r="CH738" s="27"/>
      <c r="CI738" s="64"/>
      <c r="CJ738" s="27" t="str">
        <f>AS738</f>
        <v>26.7</v>
      </c>
      <c r="CK738" s="28"/>
      <c r="CL738" s="39"/>
    </row>
    <row r="739" spans="1:90" ht="17.45" customHeight="1" x14ac:dyDescent="0.25">
      <c r="A739" s="20"/>
      <c r="B739" s="31"/>
      <c r="C739" s="30"/>
      <c r="D739" s="23"/>
      <c r="E739" s="23"/>
      <c r="F739" s="23"/>
      <c r="G739" s="23" t="s">
        <v>389</v>
      </c>
      <c r="H739" s="23"/>
      <c r="I739" s="23"/>
      <c r="J739" s="23"/>
      <c r="K739" s="23"/>
      <c r="L739" s="23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3" t="s">
        <v>121</v>
      </c>
      <c r="X739" s="29"/>
      <c r="Y739" s="29"/>
      <c r="Z739" s="23" t="str">
        <f>TEXT(AS737+AS738,"#,##0.#######")</f>
        <v>886.7</v>
      </c>
      <c r="AA739" s="23"/>
      <c r="AB739" s="23"/>
      <c r="AC739" s="23"/>
      <c r="AD739" s="23"/>
      <c r="AE739" s="23"/>
      <c r="AF739" s="23" t="s">
        <v>102</v>
      </c>
      <c r="AG739" s="23"/>
      <c r="AH739" s="23"/>
      <c r="AI739" s="23" t="str">
        <f>TEXT(0.04,"#,##0.#######")</f>
        <v>0.04</v>
      </c>
      <c r="AJ739" s="23"/>
      <c r="AK739" s="23"/>
      <c r="AL739" s="29"/>
      <c r="AM739" s="29"/>
      <c r="AN739" s="38"/>
      <c r="AO739" s="23"/>
      <c r="AP739" s="23"/>
      <c r="AQ739" s="23" t="s">
        <v>103</v>
      </c>
      <c r="AR739" s="23"/>
      <c r="AS739" s="23" t="str">
        <f>TEXT(TRUNC(Z739*AI739,1),"#,##0.#")</f>
        <v>35.4</v>
      </c>
      <c r="AT739" s="23"/>
      <c r="AU739" s="29"/>
      <c r="AV739" s="29"/>
      <c r="AW739" s="29"/>
      <c r="AX739" s="29"/>
      <c r="AY739" s="29"/>
      <c r="AZ739" s="29"/>
      <c r="BA739" s="34"/>
      <c r="BB739" s="34"/>
      <c r="BC739" s="34"/>
      <c r="BD739" s="34"/>
      <c r="BE739" s="34"/>
      <c r="BF739" s="34"/>
      <c r="BG739" s="34"/>
      <c r="BH739" s="34"/>
      <c r="BI739" s="34"/>
      <c r="BJ739" s="34"/>
      <c r="BK739" s="34"/>
      <c r="BL739" s="34"/>
      <c r="BM739" s="34"/>
      <c r="BN739" s="34"/>
      <c r="BO739" s="34"/>
      <c r="BP739" s="34"/>
      <c r="BQ739" s="34"/>
      <c r="BR739" s="34"/>
      <c r="BS739" s="34"/>
      <c r="BT739" s="34"/>
      <c r="BU739" s="34"/>
      <c r="BV739" s="34"/>
      <c r="BW739" s="34"/>
      <c r="BX739" s="34"/>
      <c r="BY739" s="34"/>
      <c r="BZ739" s="34"/>
      <c r="CA739" s="34"/>
      <c r="CB739" s="34"/>
      <c r="CC739" s="34"/>
      <c r="CD739" s="34"/>
      <c r="CE739" s="34"/>
      <c r="CF739" s="34"/>
      <c r="CG739" s="34"/>
      <c r="CH739" s="27"/>
      <c r="CI739" s="64"/>
      <c r="CJ739" s="27" t="str">
        <f>AS739</f>
        <v>35.4</v>
      </c>
      <c r="CK739" s="28"/>
      <c r="CL739" s="39"/>
    </row>
    <row r="740" spans="1:90" ht="17.45" customHeight="1" x14ac:dyDescent="0.25">
      <c r="A740" s="20"/>
      <c r="B740" s="31"/>
      <c r="C740" s="30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9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9"/>
      <c r="AR740" s="29"/>
      <c r="AS740" s="29"/>
      <c r="AT740" s="23"/>
      <c r="AU740" s="23"/>
      <c r="AV740" s="23"/>
      <c r="AW740" s="23"/>
      <c r="AX740" s="23"/>
      <c r="AY740" s="23"/>
      <c r="AZ740" s="23"/>
      <c r="BA740" s="34"/>
      <c r="BB740" s="34"/>
      <c r="BC740" s="34"/>
      <c r="BD740" s="34"/>
      <c r="BE740" s="34"/>
      <c r="BF740" s="34"/>
      <c r="BG740" s="34"/>
      <c r="BH740" s="34"/>
      <c r="BI740" s="34"/>
      <c r="BJ740" s="34"/>
      <c r="BK740" s="34"/>
      <c r="BL740" s="34"/>
      <c r="BM740" s="34"/>
      <c r="BN740" s="34"/>
      <c r="BO740" s="34"/>
      <c r="BP740" s="34"/>
      <c r="BQ740" s="34"/>
      <c r="BR740" s="34"/>
      <c r="BS740" s="34"/>
      <c r="BT740" s="34"/>
      <c r="BU740" s="34"/>
      <c r="BV740" s="34"/>
      <c r="BW740" s="34"/>
      <c r="BX740" s="34"/>
      <c r="BY740" s="34"/>
      <c r="BZ740" s="34"/>
      <c r="CA740" s="34"/>
      <c r="CB740" s="34"/>
      <c r="CC740" s="34"/>
      <c r="CD740" s="34"/>
      <c r="CE740" s="34"/>
      <c r="CF740" s="34"/>
      <c r="CG740" s="34"/>
      <c r="CH740" s="27"/>
      <c r="CI740" s="64"/>
      <c r="CJ740" s="27"/>
      <c r="CK740" s="28"/>
      <c r="CL740" s="39"/>
    </row>
    <row r="741" spans="1:90" ht="17.45" customHeight="1" x14ac:dyDescent="0.2">
      <c r="A741" s="20"/>
      <c r="B741" s="31"/>
      <c r="C741" s="30"/>
      <c r="D741" s="23" t="s">
        <v>168</v>
      </c>
      <c r="E741" s="23"/>
      <c r="F741" s="23"/>
      <c r="G741" s="23" t="s">
        <v>161</v>
      </c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34"/>
      <c r="BB741" s="34"/>
      <c r="BC741" s="34"/>
      <c r="BD741" s="34"/>
      <c r="BE741" s="34"/>
      <c r="BF741" s="34"/>
      <c r="BG741" s="34"/>
      <c r="BH741" s="34"/>
      <c r="BI741" s="34"/>
      <c r="BJ741" s="34"/>
      <c r="BK741" s="34"/>
      <c r="BL741" s="34"/>
      <c r="BM741" s="34"/>
      <c r="BN741" s="34"/>
      <c r="BO741" s="34"/>
      <c r="BP741" s="34"/>
      <c r="BQ741" s="34"/>
      <c r="BR741" s="34"/>
      <c r="BS741" s="34"/>
      <c r="BT741" s="34"/>
      <c r="BU741" s="34"/>
      <c r="BV741" s="34"/>
      <c r="BW741" s="34"/>
      <c r="BX741" s="34"/>
      <c r="BY741" s="34"/>
      <c r="BZ741" s="34"/>
      <c r="CA741" s="34"/>
      <c r="CB741" s="34"/>
      <c r="CC741" s="34"/>
      <c r="CD741" s="34"/>
      <c r="CE741" s="34"/>
      <c r="CF741" s="34"/>
      <c r="CG741" s="34"/>
      <c r="CH741" s="27"/>
      <c r="CI741" s="64"/>
      <c r="CJ741" s="27"/>
      <c r="CK741" s="28"/>
      <c r="CL741" s="39"/>
    </row>
    <row r="742" spans="1:90" ht="17.45" customHeight="1" x14ac:dyDescent="0.25">
      <c r="A742" s="20"/>
      <c r="B742" s="31"/>
      <c r="C742" s="30"/>
      <c r="D742" s="23"/>
      <c r="E742" s="23"/>
      <c r="F742" s="23"/>
      <c r="G742" s="23" t="s">
        <v>386</v>
      </c>
      <c r="H742" s="23"/>
      <c r="I742" s="23"/>
      <c r="J742" s="23"/>
      <c r="K742" s="23"/>
      <c r="L742" s="23"/>
      <c r="M742" s="23"/>
      <c r="N742" s="23" t="s">
        <v>121</v>
      </c>
      <c r="O742" s="23"/>
      <c r="P742" s="23" t="str">
        <f>TEXT([1]노임및중기단가!$I$17,"#,##0")</f>
        <v>198,613</v>
      </c>
      <c r="Q742" s="23"/>
      <c r="R742" s="23"/>
      <c r="S742" s="23"/>
      <c r="T742" s="23"/>
      <c r="U742" s="23"/>
      <c r="V742" s="23"/>
      <c r="W742" s="23" t="s">
        <v>102</v>
      </c>
      <c r="X742" s="23"/>
      <c r="Y742" s="23"/>
      <c r="Z742" s="23" t="str">
        <f>TEXT(0.048,"#,##0.#######")</f>
        <v>0.048</v>
      </c>
      <c r="AA742" s="23"/>
      <c r="AB742" s="23"/>
      <c r="AC742" s="23"/>
      <c r="AD742" s="23" t="s">
        <v>243</v>
      </c>
      <c r="AE742" s="23"/>
      <c r="AF742" s="23"/>
      <c r="AG742" s="23" t="s">
        <v>103</v>
      </c>
      <c r="AH742" s="23"/>
      <c r="AI742" s="23" t="str">
        <f>TEXT(TRUNC(P742*Z742,1),"#,##0.#")</f>
        <v>9,533.4</v>
      </c>
      <c r="AJ742" s="23"/>
      <c r="AK742" s="23"/>
      <c r="AL742" s="29"/>
      <c r="AM742" s="29"/>
      <c r="AN742" s="29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  <c r="BQ742" s="23"/>
      <c r="BR742" s="23"/>
      <c r="BS742" s="23"/>
      <c r="BT742" s="23"/>
      <c r="BU742" s="23"/>
      <c r="BV742" s="23"/>
      <c r="BW742" s="23"/>
      <c r="BX742" s="23"/>
      <c r="BY742" s="23"/>
      <c r="BZ742" s="23"/>
      <c r="CA742" s="23"/>
      <c r="CB742" s="23"/>
      <c r="CC742" s="23"/>
      <c r="CD742" s="23"/>
      <c r="CE742" s="23"/>
      <c r="CF742" s="23"/>
      <c r="CG742" s="23"/>
      <c r="CH742" s="27"/>
      <c r="CI742" s="64" t="str">
        <f>AI742</f>
        <v>9,533.4</v>
      </c>
      <c r="CJ742" s="27"/>
      <c r="CK742" s="28"/>
      <c r="CL742" s="39"/>
    </row>
    <row r="743" spans="1:90" ht="17.45" customHeight="1" x14ac:dyDescent="0.25">
      <c r="A743" s="20"/>
      <c r="B743" s="31"/>
      <c r="C743" s="30"/>
      <c r="D743" s="34"/>
      <c r="E743" s="34"/>
      <c r="F743" s="34"/>
      <c r="G743" s="23" t="s">
        <v>322</v>
      </c>
      <c r="H743" s="23"/>
      <c r="I743" s="23"/>
      <c r="J743" s="23"/>
      <c r="K743" s="23"/>
      <c r="L743" s="23"/>
      <c r="M743" s="23"/>
      <c r="N743" s="23" t="s">
        <v>121</v>
      </c>
      <c r="O743" s="23"/>
      <c r="P743" s="23" t="str">
        <f>TEXT([1]노임및중기단가!$I$8,"#,##0")</f>
        <v>138,290</v>
      </c>
      <c r="Q743" s="23"/>
      <c r="R743" s="23"/>
      <c r="S743" s="23"/>
      <c r="T743" s="23"/>
      <c r="U743" s="23"/>
      <c r="V743" s="23"/>
      <c r="W743" s="23" t="s">
        <v>102</v>
      </c>
      <c r="X743" s="23"/>
      <c r="Y743" s="23"/>
      <c r="Z743" s="23" t="str">
        <f>TEXT(0.008,"#,##0.#######")</f>
        <v>0.008</v>
      </c>
      <c r="AA743" s="23"/>
      <c r="AB743" s="23"/>
      <c r="AC743" s="23"/>
      <c r="AD743" s="23" t="s">
        <v>243</v>
      </c>
      <c r="AE743" s="23"/>
      <c r="AF743" s="23"/>
      <c r="AG743" s="23" t="s">
        <v>103</v>
      </c>
      <c r="AH743" s="23"/>
      <c r="AI743" s="23" t="str">
        <f>TEXT(TRUNC(P743*Z743,1),"#,##0.#")</f>
        <v>1,106.3</v>
      </c>
      <c r="AJ743" s="23"/>
      <c r="AK743" s="23"/>
      <c r="AL743" s="29"/>
      <c r="AM743" s="29"/>
      <c r="AN743" s="29"/>
      <c r="AO743" s="23"/>
      <c r="AP743" s="23"/>
      <c r="AQ743" s="23"/>
      <c r="AR743" s="34"/>
      <c r="AS743" s="34"/>
      <c r="AT743" s="34"/>
      <c r="AU743" s="34"/>
      <c r="AV743" s="34"/>
      <c r="AW743" s="34"/>
      <c r="AX743" s="34"/>
      <c r="AY743" s="34"/>
      <c r="AZ743" s="34"/>
      <c r="BA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  <c r="BM743" s="23"/>
      <c r="BN743" s="23"/>
      <c r="BO743" s="23"/>
      <c r="BP743" s="23"/>
      <c r="BQ743" s="23"/>
      <c r="BR743" s="23"/>
      <c r="BS743" s="23"/>
      <c r="BT743" s="23"/>
      <c r="BU743" s="23"/>
      <c r="BV743" s="23"/>
      <c r="BW743" s="23"/>
      <c r="BX743" s="23"/>
      <c r="BY743" s="23"/>
      <c r="BZ743" s="23"/>
      <c r="CA743" s="23"/>
      <c r="CB743" s="23"/>
      <c r="CC743" s="23"/>
      <c r="CD743" s="23"/>
      <c r="CE743" s="23"/>
      <c r="CF743" s="23"/>
      <c r="CG743" s="23"/>
      <c r="CH743" s="27"/>
      <c r="CI743" s="64" t="str">
        <f>AI743</f>
        <v>1,106.3</v>
      </c>
      <c r="CJ743" s="27"/>
      <c r="CK743" s="28"/>
      <c r="CL743" s="39"/>
    </row>
    <row r="744" spans="1:90" ht="17.45" customHeight="1" x14ac:dyDescent="0.25">
      <c r="A744" s="20"/>
      <c r="B744" s="31"/>
      <c r="C744" s="30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9"/>
      <c r="AM744" s="29"/>
      <c r="AN744" s="29"/>
      <c r="AO744" s="29"/>
      <c r="AP744" s="29"/>
      <c r="AQ744" s="29"/>
      <c r="AR744" s="29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  <c r="BQ744" s="23"/>
      <c r="BR744" s="23"/>
      <c r="BS744" s="23"/>
      <c r="BT744" s="23"/>
      <c r="BU744" s="23"/>
      <c r="BV744" s="23"/>
      <c r="BW744" s="23"/>
      <c r="BX744" s="23"/>
      <c r="BY744" s="23"/>
      <c r="BZ744" s="23"/>
      <c r="CA744" s="23"/>
      <c r="CB744" s="23"/>
      <c r="CC744" s="23"/>
      <c r="CD744" s="23"/>
      <c r="CE744" s="23"/>
      <c r="CF744" s="23"/>
      <c r="CG744" s="23"/>
      <c r="CH744" s="27"/>
      <c r="CI744" s="64"/>
      <c r="CJ744" s="27"/>
      <c r="CK744" s="28"/>
      <c r="CL744" s="39"/>
    </row>
    <row r="745" spans="1:90" ht="17.45" customHeight="1" x14ac:dyDescent="0.2">
      <c r="A745" s="20"/>
      <c r="B745" s="31"/>
      <c r="C745" s="30"/>
      <c r="D745" s="23" t="s">
        <v>85</v>
      </c>
      <c r="E745" s="23"/>
      <c r="F745" s="23"/>
      <c r="G745" s="23" t="s">
        <v>323</v>
      </c>
      <c r="H745" s="23"/>
      <c r="I745" s="23"/>
      <c r="J745" s="23"/>
      <c r="K745" s="23" t="s">
        <v>127</v>
      </c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34"/>
      <c r="Z745" s="34"/>
      <c r="AA745" s="34"/>
      <c r="AB745" s="34"/>
      <c r="AC745" s="34"/>
      <c r="AD745" s="34"/>
      <c r="AE745" s="34"/>
      <c r="AF745" s="34"/>
      <c r="AG745" s="34"/>
      <c r="AH745" s="34"/>
      <c r="AI745" s="34"/>
      <c r="AJ745" s="34"/>
      <c r="AK745" s="34"/>
      <c r="AL745" s="34"/>
      <c r="AM745" s="34"/>
      <c r="AN745" s="34"/>
      <c r="AO745" s="34"/>
      <c r="AP745" s="34"/>
      <c r="AQ745" s="34"/>
      <c r="AR745" s="34"/>
      <c r="AS745" s="34"/>
      <c r="AT745" s="34"/>
      <c r="AU745" s="34"/>
      <c r="AV745" s="34"/>
      <c r="AW745" s="34"/>
      <c r="AX745" s="34"/>
      <c r="AY745" s="34"/>
      <c r="AZ745" s="34"/>
      <c r="BA745" s="34"/>
      <c r="BB745" s="34"/>
      <c r="BC745" s="34"/>
      <c r="BD745" s="34"/>
      <c r="BE745" s="23"/>
      <c r="BF745" s="23"/>
      <c r="BG745" s="23"/>
      <c r="BH745" s="23"/>
      <c r="BI745" s="23"/>
      <c r="BJ745" s="23"/>
      <c r="BK745" s="34"/>
      <c r="BL745" s="34"/>
      <c r="BM745" s="34"/>
      <c r="BN745" s="34"/>
      <c r="BO745" s="34"/>
      <c r="BP745" s="34"/>
      <c r="BQ745" s="34"/>
      <c r="BR745" s="34"/>
      <c r="BS745" s="34"/>
      <c r="BT745" s="23"/>
      <c r="BU745" s="23"/>
      <c r="BV745" s="23"/>
      <c r="BW745" s="23"/>
      <c r="BX745" s="23"/>
      <c r="BY745" s="23"/>
      <c r="BZ745" s="23"/>
      <c r="CA745" s="23"/>
      <c r="CB745" s="23"/>
      <c r="CC745" s="23"/>
      <c r="CD745" s="23"/>
      <c r="CE745" s="23"/>
      <c r="CF745" s="23"/>
      <c r="CG745" s="23"/>
      <c r="CH745" s="27"/>
      <c r="CI745" s="64"/>
      <c r="CJ745" s="27"/>
      <c r="CK745" s="28"/>
      <c r="CL745" s="39"/>
    </row>
    <row r="746" spans="1:90" ht="17.45" customHeight="1" x14ac:dyDescent="0.25">
      <c r="A746" s="20"/>
      <c r="B746" s="31"/>
      <c r="C746" s="30"/>
      <c r="D746" s="34"/>
      <c r="E746" s="23"/>
      <c r="F746" s="23"/>
      <c r="G746" s="23"/>
      <c r="H746" s="23" t="s">
        <v>120</v>
      </c>
      <c r="I746" s="23"/>
      <c r="J746" s="23"/>
      <c r="K746" s="23"/>
      <c r="L746" s="23"/>
      <c r="M746" s="23"/>
      <c r="N746" s="23"/>
      <c r="O746" s="23" t="s">
        <v>121</v>
      </c>
      <c r="P746" s="23"/>
      <c r="Q746" s="23" t="str">
        <f>TEXT(AI732,"#,###.##")</f>
        <v>1,986.1</v>
      </c>
      <c r="R746" s="23"/>
      <c r="S746" s="23"/>
      <c r="T746" s="23"/>
      <c r="U746" s="23"/>
      <c r="V746" s="23" t="s">
        <v>97</v>
      </c>
      <c r="W746" s="34"/>
      <c r="X746" s="23" t="str">
        <f>TEXT(AI733,"#,###.##")</f>
        <v>138.2</v>
      </c>
      <c r="Y746" s="34"/>
      <c r="Z746" s="34"/>
      <c r="AA746" s="34"/>
      <c r="AB746" s="23" t="s">
        <v>97</v>
      </c>
      <c r="AC746" s="34"/>
      <c r="AD746" s="23" t="str">
        <f>TEXT(AI742,"#,###.##")</f>
        <v>9,533.4</v>
      </c>
      <c r="AE746" s="34"/>
      <c r="AF746" s="34"/>
      <c r="AG746" s="34"/>
      <c r="AH746" s="34"/>
      <c r="AI746" s="23" t="s">
        <v>97</v>
      </c>
      <c r="AJ746" s="34"/>
      <c r="AK746" s="23" t="str">
        <f>TEXT(AI743,"#,###.##")</f>
        <v>1,106.3</v>
      </c>
      <c r="AL746" s="34"/>
      <c r="AM746" s="34"/>
      <c r="AN746" s="34"/>
      <c r="AO746" s="23" t="s">
        <v>103</v>
      </c>
      <c r="AP746" s="23"/>
      <c r="AQ746" s="23" t="str">
        <f>TEXT(TRUNC(Q746+X746+AD746+AK746+BA746,0),"#,##0")</f>
        <v>12,764</v>
      </c>
      <c r="AR746" s="34"/>
      <c r="AS746" s="34"/>
      <c r="AT746" s="34"/>
      <c r="AU746" s="34"/>
      <c r="AV746" s="34"/>
      <c r="AW746" s="34"/>
      <c r="AX746" s="34"/>
      <c r="AY746" s="23"/>
      <c r="AZ746" s="34"/>
      <c r="BA746" s="23"/>
      <c r="BB746" s="23"/>
      <c r="BC746" s="23"/>
      <c r="BD746" s="23"/>
      <c r="BE746" s="29"/>
      <c r="BF746" s="23"/>
      <c r="BG746" s="34"/>
      <c r="BH746" s="34"/>
      <c r="BI746" s="34"/>
      <c r="BJ746" s="34"/>
      <c r="BK746" s="23"/>
      <c r="BL746" s="23"/>
      <c r="BM746" s="23"/>
      <c r="BN746" s="29"/>
      <c r="BO746" s="23"/>
      <c r="BP746" s="34"/>
      <c r="BQ746" s="34"/>
      <c r="BR746" s="34"/>
      <c r="BS746" s="34"/>
      <c r="BT746" s="29"/>
      <c r="BU746" s="29"/>
      <c r="BV746" s="23"/>
      <c r="BW746" s="23"/>
      <c r="BX746" s="23"/>
      <c r="BY746" s="23"/>
      <c r="BZ746" s="23"/>
      <c r="CA746" s="23"/>
      <c r="CB746" s="23"/>
      <c r="CC746" s="23"/>
      <c r="CD746" s="23"/>
      <c r="CE746" s="23"/>
      <c r="CF746" s="23"/>
      <c r="CG746" s="23"/>
      <c r="CH746" s="27"/>
      <c r="CI746" s="64"/>
      <c r="CJ746" s="27"/>
      <c r="CK746" s="28"/>
      <c r="CL746" s="39"/>
    </row>
    <row r="747" spans="1:90" ht="17.45" customHeight="1" x14ac:dyDescent="0.2">
      <c r="A747" s="20"/>
      <c r="B747" s="31"/>
      <c r="C747" s="30"/>
      <c r="D747" s="23"/>
      <c r="E747" s="23"/>
      <c r="F747" s="23"/>
      <c r="G747" s="23"/>
      <c r="H747" s="23" t="s">
        <v>123</v>
      </c>
      <c r="I747" s="23"/>
      <c r="J747" s="23"/>
      <c r="K747" s="23"/>
      <c r="L747" s="23"/>
      <c r="M747" s="23"/>
      <c r="N747" s="23"/>
      <c r="O747" s="23" t="s">
        <v>121</v>
      </c>
      <c r="P747" s="23"/>
      <c r="Q747" s="23" t="str">
        <f>TEXT(AS728,"#,###.##")</f>
        <v>165.</v>
      </c>
      <c r="R747" s="23"/>
      <c r="S747" s="23"/>
      <c r="T747" s="23"/>
      <c r="U747" s="23"/>
      <c r="V747" s="23" t="s">
        <v>97</v>
      </c>
      <c r="W747" s="23"/>
      <c r="X747" s="23" t="str">
        <f>TEXT(AS729,"#,###.##")</f>
        <v>26.</v>
      </c>
      <c r="Y747" s="23"/>
      <c r="Z747" s="23"/>
      <c r="AA747" s="23"/>
      <c r="AB747" s="23" t="s">
        <v>97</v>
      </c>
      <c r="AC747" s="34"/>
      <c r="AD747" s="23" t="str">
        <f>TEXT(AS737,"#,###.##")</f>
        <v>860.</v>
      </c>
      <c r="AE747" s="34"/>
      <c r="AF747" s="34"/>
      <c r="AG747" s="34"/>
      <c r="AH747" s="23" t="s">
        <v>97</v>
      </c>
      <c r="AI747" s="34"/>
      <c r="AJ747" s="23"/>
      <c r="AK747" s="23" t="str">
        <f>TEXT(AS738,"#,###.##")</f>
        <v>26.7</v>
      </c>
      <c r="AL747" s="34"/>
      <c r="AM747" s="34"/>
      <c r="AN747" s="23" t="s">
        <v>97</v>
      </c>
      <c r="AO747" s="34"/>
      <c r="AP747" s="23" t="str">
        <f>TEXT(AS739,"#,###.##")</f>
        <v>35.4</v>
      </c>
      <c r="AQ747" s="34"/>
      <c r="AR747" s="34"/>
      <c r="AS747" s="34"/>
      <c r="AT747" s="23" t="s">
        <v>103</v>
      </c>
      <c r="AU747" s="23"/>
      <c r="AV747" s="23" t="str">
        <f>TEXT(TRUNC(Q747+X747+AD747+AK747+AP747,0),"#,##0")</f>
        <v>1,113</v>
      </c>
      <c r="AW747" s="34"/>
      <c r="AX747" s="34"/>
      <c r="AY747" s="34"/>
      <c r="AZ747" s="34"/>
      <c r="BA747" s="34"/>
      <c r="BB747" s="34"/>
      <c r="BC747" s="34"/>
      <c r="BD747" s="34"/>
      <c r="BE747" s="34"/>
      <c r="BF747" s="34"/>
      <c r="BG747" s="34"/>
      <c r="BH747" s="34"/>
      <c r="BI747" s="34"/>
      <c r="BJ747" s="34"/>
      <c r="BK747" s="23"/>
      <c r="BL747" s="23"/>
      <c r="BM747" s="23"/>
      <c r="BN747" s="23"/>
      <c r="BO747" s="23"/>
      <c r="BP747" s="23"/>
      <c r="BQ747" s="23"/>
      <c r="BR747" s="23"/>
      <c r="BS747" s="23"/>
      <c r="BT747" s="23"/>
      <c r="BU747" s="23"/>
      <c r="BV747" s="23"/>
      <c r="BW747" s="23"/>
      <c r="BX747" s="23"/>
      <c r="BY747" s="23"/>
      <c r="BZ747" s="23"/>
      <c r="CA747" s="23"/>
      <c r="CB747" s="23"/>
      <c r="CC747" s="23"/>
      <c r="CD747" s="23"/>
      <c r="CE747" s="23"/>
      <c r="CF747" s="23"/>
      <c r="CG747" s="23"/>
      <c r="CH747" s="27"/>
      <c r="CI747" s="64"/>
      <c r="CJ747" s="27"/>
      <c r="CK747" s="28"/>
      <c r="CL747" s="39"/>
    </row>
    <row r="748" spans="1:90" ht="17.45" customHeight="1" x14ac:dyDescent="0.25">
      <c r="A748" s="20"/>
      <c r="B748" s="31"/>
      <c r="C748" s="30"/>
      <c r="D748" s="23"/>
      <c r="E748" s="23"/>
      <c r="F748" s="23"/>
      <c r="G748" s="23"/>
      <c r="H748" s="23" t="s">
        <v>124</v>
      </c>
      <c r="I748" s="23"/>
      <c r="J748" s="23"/>
      <c r="K748" s="23"/>
      <c r="L748" s="23" t="s">
        <v>125</v>
      </c>
      <c r="M748" s="23"/>
      <c r="N748" s="23"/>
      <c r="O748" s="23" t="s">
        <v>121</v>
      </c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9"/>
      <c r="AR748" s="29"/>
      <c r="AS748" s="29"/>
      <c r="AT748" s="23"/>
      <c r="AU748" s="29"/>
      <c r="AV748" s="34"/>
      <c r="AW748" s="34"/>
      <c r="AX748" s="34"/>
      <c r="AY748" s="34"/>
      <c r="AZ748" s="34"/>
      <c r="BA748" s="34"/>
      <c r="BB748" s="34"/>
      <c r="BC748" s="34"/>
      <c r="BD748" s="23"/>
      <c r="BE748" s="23"/>
      <c r="BF748" s="23"/>
      <c r="BG748" s="23"/>
      <c r="BH748" s="23"/>
      <c r="BI748" s="23"/>
      <c r="BJ748" s="34"/>
      <c r="BK748" s="23"/>
      <c r="BL748" s="23"/>
      <c r="BM748" s="23"/>
      <c r="BN748" s="23"/>
      <c r="BO748" s="23"/>
      <c r="BP748" s="23"/>
      <c r="BQ748" s="23"/>
      <c r="BR748" s="23"/>
      <c r="BS748" s="23"/>
      <c r="BT748" s="23"/>
      <c r="BU748" s="23"/>
      <c r="BV748" s="23"/>
      <c r="BW748" s="23"/>
      <c r="BX748" s="23"/>
      <c r="BY748" s="23"/>
      <c r="BZ748" s="23"/>
      <c r="CA748" s="23"/>
      <c r="CB748" s="23"/>
      <c r="CC748" s="23"/>
      <c r="CD748" s="23"/>
      <c r="CE748" s="23"/>
      <c r="CF748" s="23"/>
      <c r="CG748" s="23"/>
      <c r="CH748" s="27"/>
      <c r="CI748" s="64"/>
      <c r="CJ748" s="27"/>
      <c r="CK748" s="28"/>
      <c r="CL748" s="39"/>
    </row>
    <row r="749" spans="1:90" ht="17.45" customHeight="1" x14ac:dyDescent="0.25">
      <c r="A749" s="20"/>
      <c r="B749" s="31"/>
      <c r="C749" s="30"/>
      <c r="D749" s="23"/>
      <c r="E749" s="23"/>
      <c r="F749" s="23"/>
      <c r="G749" s="23"/>
      <c r="H749" s="23" t="s">
        <v>126</v>
      </c>
      <c r="I749" s="23"/>
      <c r="J749" s="23"/>
      <c r="K749" s="23"/>
      <c r="L749" s="23" t="s">
        <v>127</v>
      </c>
      <c r="M749" s="23"/>
      <c r="N749" s="23"/>
      <c r="O749" s="23" t="s">
        <v>121</v>
      </c>
      <c r="P749" s="23"/>
      <c r="Q749" s="23" t="str">
        <f>TEXT(AQ746+AV747,"#,##0")</f>
        <v>13,877</v>
      </c>
      <c r="R749" s="29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  <c r="BM749" s="23"/>
      <c r="BN749" s="23"/>
      <c r="BO749" s="23"/>
      <c r="BP749" s="23"/>
      <c r="BQ749" s="23"/>
      <c r="BR749" s="23"/>
      <c r="BS749" s="23"/>
      <c r="BT749" s="23"/>
      <c r="BU749" s="23"/>
      <c r="BV749" s="23"/>
      <c r="BW749" s="23"/>
      <c r="BX749" s="23"/>
      <c r="BY749" s="23"/>
      <c r="BZ749" s="23"/>
      <c r="CA749" s="23"/>
      <c r="CB749" s="23"/>
      <c r="CC749" s="23"/>
      <c r="CD749" s="23"/>
      <c r="CE749" s="23"/>
      <c r="CF749" s="23"/>
      <c r="CG749" s="23"/>
      <c r="CH749" s="64">
        <f>CI749+CJ749+CK749</f>
        <v>13877</v>
      </c>
      <c r="CI749" s="64" t="str">
        <f>AQ746</f>
        <v>12,764</v>
      </c>
      <c r="CJ749" s="27" t="str">
        <f>AV747</f>
        <v>1,113</v>
      </c>
      <c r="CK749" s="28">
        <f>BI748</f>
        <v>0</v>
      </c>
      <c r="CL749" s="39"/>
    </row>
    <row r="750" spans="1:90" ht="17.45" customHeight="1" x14ac:dyDescent="0.25">
      <c r="A750" s="20"/>
      <c r="B750" s="32"/>
      <c r="C750" s="33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35"/>
      <c r="S750" s="78"/>
      <c r="T750" s="78"/>
      <c r="U750" s="78"/>
      <c r="V750" s="78"/>
      <c r="W750" s="78"/>
      <c r="X750" s="78"/>
      <c r="Y750" s="78"/>
      <c r="Z750" s="78"/>
      <c r="AA750" s="78"/>
      <c r="AB750" s="78"/>
      <c r="AC750" s="78"/>
      <c r="AD750" s="78"/>
      <c r="AE750" s="78"/>
      <c r="AF750" s="78"/>
      <c r="AG750" s="78"/>
      <c r="AH750" s="78"/>
      <c r="AI750" s="78"/>
      <c r="AJ750" s="78"/>
      <c r="AK750" s="78"/>
      <c r="AL750" s="78"/>
      <c r="AM750" s="78"/>
      <c r="AN750" s="78"/>
      <c r="AO750" s="78"/>
      <c r="AP750" s="78"/>
      <c r="AQ750" s="78"/>
      <c r="AR750" s="78"/>
      <c r="AS750" s="78"/>
      <c r="AT750" s="78"/>
      <c r="AU750" s="78"/>
      <c r="AV750" s="78"/>
      <c r="AW750" s="78"/>
      <c r="AX750" s="78"/>
      <c r="AY750" s="78"/>
      <c r="AZ750" s="78"/>
      <c r="BA750" s="78"/>
      <c r="BB750" s="78"/>
      <c r="BC750" s="78"/>
      <c r="BD750" s="78"/>
      <c r="BE750" s="78"/>
      <c r="BF750" s="78"/>
      <c r="BG750" s="78"/>
      <c r="BH750" s="78"/>
      <c r="BI750" s="78"/>
      <c r="BJ750" s="78"/>
      <c r="BK750" s="78"/>
      <c r="BL750" s="78"/>
      <c r="BM750" s="78"/>
      <c r="BN750" s="78"/>
      <c r="BO750" s="78"/>
      <c r="BP750" s="78"/>
      <c r="BQ750" s="78"/>
      <c r="BR750" s="78"/>
      <c r="BS750" s="78"/>
      <c r="BT750" s="78"/>
      <c r="BU750" s="78"/>
      <c r="BV750" s="78"/>
      <c r="BW750" s="78"/>
      <c r="BX750" s="78"/>
      <c r="BY750" s="78"/>
      <c r="BZ750" s="78"/>
      <c r="CA750" s="78"/>
      <c r="CB750" s="78"/>
      <c r="CC750" s="78"/>
      <c r="CD750" s="78"/>
      <c r="CE750" s="78"/>
      <c r="CF750" s="78"/>
      <c r="CG750" s="78"/>
      <c r="CH750" s="90"/>
      <c r="CI750" s="90"/>
      <c r="CJ750" s="91"/>
      <c r="CK750" s="92"/>
      <c r="CL750" s="93"/>
    </row>
    <row r="751" spans="1:90" ht="17.649999999999999" customHeight="1" x14ac:dyDescent="0.2">
      <c r="A751" s="20"/>
      <c r="B751" s="82" t="s">
        <v>396</v>
      </c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  <c r="AA751" s="83"/>
      <c r="AB751" s="83"/>
      <c r="AC751" s="83"/>
      <c r="AD751" s="83"/>
      <c r="AE751" s="83"/>
      <c r="AF751" s="83"/>
      <c r="AG751" s="83"/>
      <c r="AH751" s="83"/>
      <c r="AI751" s="83"/>
      <c r="AJ751" s="83"/>
      <c r="AK751" s="83"/>
      <c r="AL751" s="83"/>
      <c r="AM751" s="83"/>
      <c r="AN751" s="83"/>
      <c r="AO751" s="83"/>
      <c r="AP751" s="83"/>
      <c r="AQ751" s="83"/>
      <c r="AR751" s="83"/>
      <c r="AS751" s="83"/>
      <c r="AT751" s="83"/>
      <c r="AU751" s="83"/>
      <c r="AV751" s="83"/>
      <c r="AW751" s="83"/>
      <c r="AX751" s="83"/>
      <c r="AY751" s="83"/>
      <c r="AZ751" s="83"/>
      <c r="BA751" s="83"/>
      <c r="BB751" s="83"/>
      <c r="BC751" s="83"/>
      <c r="BD751" s="83"/>
      <c r="BE751" s="83"/>
      <c r="BF751" s="83"/>
      <c r="BG751" s="83"/>
      <c r="BH751" s="83"/>
      <c r="BI751" s="83"/>
      <c r="BJ751" s="83"/>
      <c r="BK751" s="83"/>
      <c r="BL751" s="83"/>
      <c r="BM751" s="83"/>
      <c r="BN751" s="83"/>
      <c r="BO751" s="83"/>
      <c r="BP751" s="83"/>
      <c r="BQ751" s="83"/>
      <c r="BR751" s="83"/>
      <c r="BS751" s="83"/>
      <c r="BT751" s="83"/>
      <c r="BU751" s="83"/>
      <c r="BV751" s="83"/>
      <c r="BW751" s="83"/>
      <c r="BX751" s="83"/>
      <c r="BY751" s="83"/>
      <c r="BZ751" s="83"/>
      <c r="CA751" s="83"/>
      <c r="CB751" s="83"/>
      <c r="CC751" s="83"/>
      <c r="CD751" s="83"/>
      <c r="CE751" s="83"/>
      <c r="CF751" s="83"/>
      <c r="CG751" s="83"/>
      <c r="CH751" s="84">
        <f>TRUNC(CI751+CJ751+CK751,0)</f>
        <v>14178</v>
      </c>
      <c r="CI751" s="84">
        <f>TRUNC(CI758+CI759+CI768+CI769,0)</f>
        <v>12764</v>
      </c>
      <c r="CJ751" s="85">
        <f>TRUNC(CJ754+CJ755+CJ763+CJ764+CJ765,0)</f>
        <v>1414</v>
      </c>
      <c r="CK751" s="85">
        <f>TRUNC(0)</f>
        <v>0</v>
      </c>
      <c r="CL751" s="101">
        <v>1111</v>
      </c>
    </row>
    <row r="752" spans="1:90" ht="17.649999999999999" customHeight="1" x14ac:dyDescent="0.25">
      <c r="A752" s="20"/>
      <c r="B752" s="31"/>
      <c r="C752" s="29"/>
      <c r="D752" s="23" t="s">
        <v>391</v>
      </c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  <c r="AQ752" s="29"/>
      <c r="AR752" s="29"/>
      <c r="AS752" s="29"/>
      <c r="AT752" s="29"/>
      <c r="AU752" s="29"/>
      <c r="AV752" s="29"/>
      <c r="AW752" s="29"/>
      <c r="AX752" s="29"/>
      <c r="AY752" s="29"/>
      <c r="AZ752" s="29"/>
      <c r="BA752" s="29"/>
      <c r="BB752" s="29"/>
      <c r="BC752" s="29"/>
      <c r="BD752" s="29"/>
      <c r="BE752" s="29"/>
      <c r="BF752" s="29"/>
      <c r="BG752" s="29"/>
      <c r="BH752" s="29"/>
      <c r="BI752" s="29"/>
      <c r="BJ752" s="29"/>
      <c r="BK752" s="29"/>
      <c r="BL752" s="29"/>
      <c r="BM752" s="29"/>
      <c r="BN752" s="29"/>
      <c r="BO752" s="29"/>
      <c r="BP752" s="29"/>
      <c r="BQ752" s="29"/>
      <c r="BR752" s="29"/>
      <c r="BS752" s="29"/>
      <c r="BT752" s="29"/>
      <c r="BU752" s="29"/>
      <c r="BV752" s="29"/>
      <c r="BW752" s="29"/>
      <c r="BX752" s="29"/>
      <c r="BY752" s="29"/>
      <c r="BZ752" s="29"/>
      <c r="CA752" s="29"/>
      <c r="CB752" s="29"/>
      <c r="CC752" s="29"/>
      <c r="CD752" s="29"/>
      <c r="CE752" s="29"/>
      <c r="CF752" s="29"/>
      <c r="CG752" s="29"/>
      <c r="CH752" s="36"/>
      <c r="CI752" s="36"/>
      <c r="CJ752" s="36"/>
      <c r="CK752" s="36"/>
      <c r="CL752" s="39" t="s">
        <v>392</v>
      </c>
    </row>
    <row r="753" spans="1:90" ht="17.649999999999999" customHeight="1" x14ac:dyDescent="0.2">
      <c r="A753" s="20"/>
      <c r="B753" s="31"/>
      <c r="C753" s="30"/>
      <c r="D753" s="23" t="s">
        <v>94</v>
      </c>
      <c r="E753" s="23"/>
      <c r="F753" s="23"/>
      <c r="G753" s="23" t="s">
        <v>123</v>
      </c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  <c r="AQ753" s="23"/>
      <c r="AR753" s="23"/>
      <c r="AS753" s="23"/>
      <c r="AT753" s="23"/>
      <c r="AU753" s="23"/>
      <c r="AV753" s="23"/>
      <c r="AW753" s="23"/>
      <c r="AX753" s="23"/>
      <c r="AY753" s="23"/>
      <c r="AZ753" s="23"/>
      <c r="BA753" s="23"/>
      <c r="BB753" s="23"/>
      <c r="BC753" s="23"/>
      <c r="BD753" s="23"/>
      <c r="BE753" s="23"/>
      <c r="BF753" s="23"/>
      <c r="BG753" s="23"/>
      <c r="BH753" s="23"/>
      <c r="BI753" s="23"/>
      <c r="BJ753" s="23"/>
      <c r="BK753" s="23"/>
      <c r="BL753" s="23"/>
      <c r="BM753" s="23"/>
      <c r="BN753" s="23"/>
      <c r="BO753" s="23"/>
      <c r="BP753" s="23"/>
      <c r="BQ753" s="23"/>
      <c r="BR753" s="23"/>
      <c r="BS753" s="23"/>
      <c r="BT753" s="23"/>
      <c r="BU753" s="23"/>
      <c r="BV753" s="23"/>
      <c r="BW753" s="23"/>
      <c r="BX753" s="23"/>
      <c r="BY753" s="23"/>
      <c r="BZ753" s="23"/>
      <c r="CA753" s="23"/>
      <c r="CB753" s="23"/>
      <c r="CC753" s="23"/>
      <c r="CD753" s="23"/>
      <c r="CE753" s="23"/>
      <c r="CF753" s="23"/>
      <c r="CG753" s="23"/>
      <c r="CH753" s="27"/>
      <c r="CI753" s="27"/>
      <c r="CJ753" s="27"/>
      <c r="CK753" s="28"/>
      <c r="CL753" s="39"/>
    </row>
    <row r="754" spans="1:90" ht="17.649999999999999" customHeight="1" x14ac:dyDescent="0.25">
      <c r="A754" s="20"/>
      <c r="B754" s="31"/>
      <c r="C754" s="30"/>
      <c r="D754" s="23"/>
      <c r="E754" s="23"/>
      <c r="F754" s="23"/>
      <c r="G754" s="23" t="s">
        <v>393</v>
      </c>
      <c r="H754" s="23"/>
      <c r="I754" s="23"/>
      <c r="J754" s="23"/>
      <c r="K754" s="23"/>
      <c r="L754" s="23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3" t="s">
        <v>121</v>
      </c>
      <c r="X754" s="29"/>
      <c r="Y754" s="29"/>
      <c r="Z754" s="23" t="str">
        <f>TEXT([1]자재단가!$M$94,"#,##0.#######")</f>
        <v>3,300.</v>
      </c>
      <c r="AA754" s="23"/>
      <c r="AB754" s="23"/>
      <c r="AC754" s="23"/>
      <c r="AD754" s="23"/>
      <c r="AE754" s="23"/>
      <c r="AF754" s="23" t="s">
        <v>102</v>
      </c>
      <c r="AG754" s="23"/>
      <c r="AH754" s="23"/>
      <c r="AI754" s="23" t="str">
        <f>TEXT(0.05,"#,##0.#######")</f>
        <v>0.05</v>
      </c>
      <c r="AJ754" s="23"/>
      <c r="AK754" s="23"/>
      <c r="AL754" s="38" t="s">
        <v>270</v>
      </c>
      <c r="AM754" s="29"/>
      <c r="AN754" s="38"/>
      <c r="AO754" s="23"/>
      <c r="AP754" s="23"/>
      <c r="AQ754" s="23" t="s">
        <v>103</v>
      </c>
      <c r="AR754" s="23"/>
      <c r="AS754" s="23" t="str">
        <f>TEXT(TRUNC(Z754*AI754,1),"#,##0.#")</f>
        <v>165.</v>
      </c>
      <c r="AT754" s="23"/>
      <c r="AU754" s="29"/>
      <c r="AV754" s="29"/>
      <c r="AW754" s="29"/>
      <c r="AX754" s="29"/>
      <c r="AY754" s="29"/>
      <c r="AZ754" s="29"/>
      <c r="BA754" s="29"/>
      <c r="BB754" s="29"/>
      <c r="BC754" s="29"/>
      <c r="BD754" s="29"/>
      <c r="BE754" s="29"/>
      <c r="BF754" s="29"/>
      <c r="BG754" s="29"/>
      <c r="BH754" s="29"/>
      <c r="BI754" s="29"/>
      <c r="BJ754" s="29"/>
      <c r="BK754" s="29"/>
      <c r="BL754" s="29"/>
      <c r="BM754" s="29"/>
      <c r="BN754" s="23"/>
      <c r="BO754" s="23"/>
      <c r="BP754" s="23"/>
      <c r="BQ754" s="23"/>
      <c r="BR754" s="29"/>
      <c r="BS754" s="29"/>
      <c r="BT754" s="29"/>
      <c r="BU754" s="29"/>
      <c r="BV754" s="23"/>
      <c r="BW754" s="23"/>
      <c r="BX754" s="23"/>
      <c r="BY754" s="23"/>
      <c r="BZ754" s="23"/>
      <c r="CA754" s="23"/>
      <c r="CB754" s="23"/>
      <c r="CC754" s="23"/>
      <c r="CD754" s="23"/>
      <c r="CE754" s="23"/>
      <c r="CF754" s="23"/>
      <c r="CG754" s="23"/>
      <c r="CH754" s="27"/>
      <c r="CI754" s="27"/>
      <c r="CJ754" s="27" t="str">
        <f>AS754</f>
        <v>165.</v>
      </c>
      <c r="CK754" s="28"/>
      <c r="CL754" s="39"/>
    </row>
    <row r="755" spans="1:90" ht="17.649999999999999" customHeight="1" x14ac:dyDescent="0.25">
      <c r="A755" s="20"/>
      <c r="B755" s="31"/>
      <c r="C755" s="30"/>
      <c r="D755" s="23"/>
      <c r="E755" s="23"/>
      <c r="F755" s="23"/>
      <c r="G755" s="23" t="s">
        <v>394</v>
      </c>
      <c r="H755" s="23"/>
      <c r="I755" s="23"/>
      <c r="J755" s="23"/>
      <c r="K755" s="23"/>
      <c r="L755" s="23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3" t="s">
        <v>121</v>
      </c>
      <c r="X755" s="29"/>
      <c r="Y755" s="29"/>
      <c r="Z755" s="23" t="str">
        <f>TEXT([1]자재단가!$M$95,"#,##0.#######")</f>
        <v>260.</v>
      </c>
      <c r="AA755" s="23"/>
      <c r="AB755" s="23"/>
      <c r="AC755" s="23"/>
      <c r="AD755" s="23"/>
      <c r="AE755" s="23"/>
      <c r="AF755" s="23" t="s">
        <v>102</v>
      </c>
      <c r="AG755" s="23"/>
      <c r="AH755" s="23"/>
      <c r="AI755" s="23" t="str">
        <f>TEXT(0.1,"#,##0.#######")</f>
        <v>0.1</v>
      </c>
      <c r="AJ755" s="23"/>
      <c r="AK755" s="23"/>
      <c r="AL755" s="38" t="s">
        <v>395</v>
      </c>
      <c r="AM755" s="29"/>
      <c r="AN755" s="38"/>
      <c r="AO755" s="23"/>
      <c r="AP755" s="23"/>
      <c r="AQ755" s="23" t="s">
        <v>103</v>
      </c>
      <c r="AR755" s="23"/>
      <c r="AS755" s="23" t="str">
        <f>TEXT(TRUNC(Z755*AI755,1),"#,##0.#")</f>
        <v>26.</v>
      </c>
      <c r="AT755" s="23"/>
      <c r="AU755" s="29"/>
      <c r="AV755" s="29"/>
      <c r="AW755" s="29"/>
      <c r="AX755" s="29"/>
      <c r="AY755" s="29"/>
      <c r="AZ755" s="29"/>
      <c r="BA755" s="29"/>
      <c r="BB755" s="29"/>
      <c r="BC755" s="29"/>
      <c r="BD755" s="29"/>
      <c r="BE755" s="29"/>
      <c r="BF755" s="29"/>
      <c r="BG755" s="29"/>
      <c r="BH755" s="29"/>
      <c r="BI755" s="29"/>
      <c r="BJ755" s="29"/>
      <c r="BK755" s="29"/>
      <c r="BL755" s="29"/>
      <c r="BM755" s="29"/>
      <c r="BN755" s="23"/>
      <c r="BO755" s="23"/>
      <c r="BP755" s="23"/>
      <c r="BQ755" s="23"/>
      <c r="BR755" s="29"/>
      <c r="BS755" s="29"/>
      <c r="BT755" s="29"/>
      <c r="BU755" s="29"/>
      <c r="BV755" s="23"/>
      <c r="BW755" s="23"/>
      <c r="BX755" s="23"/>
      <c r="BY755" s="23"/>
      <c r="BZ755" s="23"/>
      <c r="CA755" s="23"/>
      <c r="CB755" s="23"/>
      <c r="CC755" s="23"/>
      <c r="CD755" s="23"/>
      <c r="CE755" s="23"/>
      <c r="CF755" s="23"/>
      <c r="CG755" s="23"/>
      <c r="CH755" s="27"/>
      <c r="CI755" s="27"/>
      <c r="CJ755" s="27" t="str">
        <f>AS755</f>
        <v>26.</v>
      </c>
      <c r="CK755" s="28"/>
      <c r="CL755" s="39"/>
    </row>
    <row r="756" spans="1:90" ht="17.649999999999999" customHeight="1" x14ac:dyDescent="0.25">
      <c r="A756" s="20"/>
      <c r="B756" s="31"/>
      <c r="C756" s="30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9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9"/>
      <c r="AR756" s="29"/>
      <c r="AS756" s="29"/>
      <c r="AT756" s="23"/>
      <c r="AU756" s="23"/>
      <c r="AV756" s="23"/>
      <c r="AW756" s="23"/>
      <c r="AX756" s="23"/>
      <c r="AY756" s="23"/>
      <c r="AZ756" s="23"/>
      <c r="BA756" s="23"/>
      <c r="BB756" s="29"/>
      <c r="BC756" s="29"/>
      <c r="BD756" s="29"/>
      <c r="BE756" s="29"/>
      <c r="BF756" s="29"/>
      <c r="BG756" s="29"/>
      <c r="BH756" s="29"/>
      <c r="BI756" s="23"/>
      <c r="BJ756" s="23"/>
      <c r="BK756" s="23"/>
      <c r="BL756" s="23"/>
      <c r="BM756" s="23"/>
      <c r="BN756" s="23"/>
      <c r="BO756" s="23"/>
      <c r="BP756" s="23"/>
      <c r="BQ756" s="23"/>
      <c r="BR756" s="29"/>
      <c r="BS756" s="29"/>
      <c r="BT756" s="29"/>
      <c r="BU756" s="29"/>
      <c r="BV756" s="23"/>
      <c r="BW756" s="23"/>
      <c r="BX756" s="23"/>
      <c r="BY756" s="23"/>
      <c r="BZ756" s="23"/>
      <c r="CA756" s="23"/>
      <c r="CB756" s="23"/>
      <c r="CC756" s="23"/>
      <c r="CD756" s="23"/>
      <c r="CE756" s="23"/>
      <c r="CF756" s="23"/>
      <c r="CG756" s="23"/>
      <c r="CH756" s="27"/>
      <c r="CI756" s="27"/>
      <c r="CJ756" s="27"/>
      <c r="CK756" s="28"/>
      <c r="CL756" s="39"/>
    </row>
    <row r="757" spans="1:90" ht="17.649999999999999" customHeight="1" x14ac:dyDescent="0.2">
      <c r="A757" s="20"/>
      <c r="B757" s="31"/>
      <c r="C757" s="30"/>
      <c r="D757" s="23" t="s">
        <v>168</v>
      </c>
      <c r="E757" s="23"/>
      <c r="F757" s="23"/>
      <c r="G757" s="23" t="s">
        <v>161</v>
      </c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23"/>
      <c r="AQ757" s="23"/>
      <c r="AR757" s="23"/>
      <c r="AS757" s="23"/>
      <c r="AT757" s="23"/>
      <c r="AU757" s="23"/>
      <c r="AV757" s="23"/>
      <c r="AW757" s="23"/>
      <c r="AX757" s="23"/>
      <c r="AY757" s="23"/>
      <c r="AZ757" s="23"/>
      <c r="BA757" s="23"/>
      <c r="BB757" s="23"/>
      <c r="BC757" s="23"/>
      <c r="BD757" s="23"/>
      <c r="BE757" s="23"/>
      <c r="BF757" s="23"/>
      <c r="BG757" s="23"/>
      <c r="BH757" s="23"/>
      <c r="BI757" s="23"/>
      <c r="BJ757" s="23"/>
      <c r="BK757" s="23"/>
      <c r="BL757" s="23"/>
      <c r="BM757" s="23"/>
      <c r="BN757" s="23"/>
      <c r="BO757" s="23"/>
      <c r="BP757" s="23"/>
      <c r="BQ757" s="23"/>
      <c r="BR757" s="23"/>
      <c r="BS757" s="23"/>
      <c r="BT757" s="23"/>
      <c r="BU757" s="23"/>
      <c r="BV757" s="23"/>
      <c r="BW757" s="23"/>
      <c r="BX757" s="23"/>
      <c r="BY757" s="23"/>
      <c r="BZ757" s="23"/>
      <c r="CA757" s="23"/>
      <c r="CB757" s="23"/>
      <c r="CC757" s="23"/>
      <c r="CD757" s="23"/>
      <c r="CE757" s="23"/>
      <c r="CF757" s="23"/>
      <c r="CG757" s="23"/>
      <c r="CH757" s="27"/>
      <c r="CI757" s="27"/>
      <c r="CJ757" s="27"/>
      <c r="CK757" s="28"/>
      <c r="CL757" s="39"/>
    </row>
    <row r="758" spans="1:90" ht="17.649999999999999" customHeight="1" x14ac:dyDescent="0.25">
      <c r="A758" s="20"/>
      <c r="B758" s="31"/>
      <c r="C758" s="30"/>
      <c r="D758" s="23"/>
      <c r="E758" s="23"/>
      <c r="F758" s="23"/>
      <c r="G758" s="23" t="s">
        <v>386</v>
      </c>
      <c r="H758" s="23"/>
      <c r="I758" s="23"/>
      <c r="J758" s="23"/>
      <c r="K758" s="23"/>
      <c r="L758" s="23"/>
      <c r="M758" s="23"/>
      <c r="N758" s="23" t="s">
        <v>121</v>
      </c>
      <c r="O758" s="23"/>
      <c r="P758" s="23" t="str">
        <f>TEXT([1]노임및중기단가!$I$17,"#,##0")</f>
        <v>198,613</v>
      </c>
      <c r="Q758" s="23"/>
      <c r="R758" s="23"/>
      <c r="S758" s="23"/>
      <c r="T758" s="23"/>
      <c r="U758" s="23"/>
      <c r="V758" s="23"/>
      <c r="W758" s="23" t="s">
        <v>102</v>
      </c>
      <c r="X758" s="23"/>
      <c r="Y758" s="23"/>
      <c r="Z758" s="23" t="str">
        <f>TEXT(0.01,"#,##0.#######")</f>
        <v>0.01</v>
      </c>
      <c r="AA758" s="23"/>
      <c r="AB758" s="23"/>
      <c r="AC758" s="23"/>
      <c r="AD758" s="23" t="s">
        <v>243</v>
      </c>
      <c r="AE758" s="23"/>
      <c r="AF758" s="23"/>
      <c r="AG758" s="23" t="s">
        <v>103</v>
      </c>
      <c r="AH758" s="23"/>
      <c r="AI758" s="23" t="str">
        <f>TEXT(TRUNC(P758*Z758,1),"#,##0.#")</f>
        <v>1,986.1</v>
      </c>
      <c r="AJ758" s="23"/>
      <c r="AK758" s="23"/>
      <c r="AL758" s="29"/>
      <c r="AM758" s="29"/>
      <c r="AN758" s="29"/>
      <c r="AO758" s="23"/>
      <c r="AP758" s="23"/>
      <c r="AQ758" s="23"/>
      <c r="AR758" s="23"/>
      <c r="AS758" s="23"/>
      <c r="AT758" s="23"/>
      <c r="AU758" s="23"/>
      <c r="AV758" s="23"/>
      <c r="AW758" s="23"/>
      <c r="AX758" s="23"/>
      <c r="AY758" s="23"/>
      <c r="AZ758" s="23"/>
      <c r="BA758" s="23"/>
      <c r="BB758" s="23"/>
      <c r="BC758" s="23"/>
      <c r="BD758" s="23"/>
      <c r="BE758" s="23"/>
      <c r="BF758" s="23"/>
      <c r="BG758" s="23"/>
      <c r="BH758" s="23"/>
      <c r="BI758" s="23"/>
      <c r="BJ758" s="23"/>
      <c r="BK758" s="23"/>
      <c r="BL758" s="23"/>
      <c r="BM758" s="23"/>
      <c r="BN758" s="23"/>
      <c r="BO758" s="23"/>
      <c r="BP758" s="23"/>
      <c r="BQ758" s="23"/>
      <c r="BR758" s="23"/>
      <c r="BS758" s="23"/>
      <c r="BT758" s="23"/>
      <c r="BU758" s="23"/>
      <c r="BV758" s="23"/>
      <c r="BW758" s="23"/>
      <c r="BX758" s="23"/>
      <c r="BY758" s="23"/>
      <c r="BZ758" s="23"/>
      <c r="CA758" s="23"/>
      <c r="CB758" s="23"/>
      <c r="CC758" s="23"/>
      <c r="CD758" s="23"/>
      <c r="CE758" s="23"/>
      <c r="CF758" s="23"/>
      <c r="CG758" s="23"/>
      <c r="CH758" s="27"/>
      <c r="CI758" s="64" t="str">
        <f>AI758</f>
        <v>1,986.1</v>
      </c>
      <c r="CJ758" s="27"/>
      <c r="CK758" s="28"/>
      <c r="CL758" s="39"/>
    </row>
    <row r="759" spans="1:90" ht="17.649999999999999" customHeight="1" x14ac:dyDescent="0.25">
      <c r="A759" s="20"/>
      <c r="B759" s="31"/>
      <c r="C759" s="30"/>
      <c r="D759" s="34"/>
      <c r="E759" s="34"/>
      <c r="F759" s="34"/>
      <c r="G759" s="23" t="s">
        <v>322</v>
      </c>
      <c r="H759" s="23"/>
      <c r="I759" s="23"/>
      <c r="J759" s="23"/>
      <c r="K759" s="23"/>
      <c r="L759" s="23"/>
      <c r="M759" s="23"/>
      <c r="N759" s="23" t="s">
        <v>121</v>
      </c>
      <c r="O759" s="23"/>
      <c r="P759" s="23" t="str">
        <f>TEXT([1]노임및중기단가!$I$8,"#,##0")</f>
        <v>138,290</v>
      </c>
      <c r="Q759" s="23"/>
      <c r="R759" s="23"/>
      <c r="S759" s="23"/>
      <c r="T759" s="23"/>
      <c r="U759" s="23"/>
      <c r="V759" s="23"/>
      <c r="W759" s="23" t="s">
        <v>102</v>
      </c>
      <c r="X759" s="23"/>
      <c r="Y759" s="23"/>
      <c r="Z759" s="23" t="str">
        <f>TEXT(0.001,"#,##0.#######")</f>
        <v>0.001</v>
      </c>
      <c r="AA759" s="23"/>
      <c r="AB759" s="23"/>
      <c r="AC759" s="23"/>
      <c r="AD759" s="23" t="s">
        <v>243</v>
      </c>
      <c r="AE759" s="23"/>
      <c r="AF759" s="23"/>
      <c r="AG759" s="23" t="s">
        <v>103</v>
      </c>
      <c r="AH759" s="23"/>
      <c r="AI759" s="23" t="str">
        <f>TEXT(TRUNC(P759*Z759,1),"#,##0.#")</f>
        <v>138.2</v>
      </c>
      <c r="AJ759" s="23"/>
      <c r="AK759" s="23"/>
      <c r="AL759" s="29"/>
      <c r="AM759" s="29"/>
      <c r="AN759" s="29"/>
      <c r="AO759" s="23"/>
      <c r="AP759" s="23"/>
      <c r="AQ759" s="23"/>
      <c r="AR759" s="34"/>
      <c r="AS759" s="34"/>
      <c r="AT759" s="34"/>
      <c r="AU759" s="34"/>
      <c r="AV759" s="34"/>
      <c r="AW759" s="34"/>
      <c r="AX759" s="34"/>
      <c r="AY759" s="34"/>
      <c r="AZ759" s="34"/>
      <c r="BA759" s="34"/>
      <c r="BB759" s="34"/>
      <c r="BC759" s="34"/>
      <c r="BD759" s="34"/>
      <c r="BE759" s="34"/>
      <c r="BF759" s="34"/>
      <c r="BG759" s="34"/>
      <c r="BH759" s="34"/>
      <c r="BI759" s="34"/>
      <c r="BJ759" s="34"/>
      <c r="BK759" s="34"/>
      <c r="BL759" s="34"/>
      <c r="BM759" s="34"/>
      <c r="BN759" s="34"/>
      <c r="BO759" s="34"/>
      <c r="BP759" s="34"/>
      <c r="BQ759" s="34"/>
      <c r="BR759" s="34"/>
      <c r="BS759" s="34"/>
      <c r="BT759" s="34"/>
      <c r="BU759" s="34"/>
      <c r="BV759" s="34"/>
      <c r="BW759" s="34"/>
      <c r="BX759" s="34"/>
      <c r="BY759" s="34"/>
      <c r="BZ759" s="34"/>
      <c r="CA759" s="34"/>
      <c r="CB759" s="34"/>
      <c r="CC759" s="34"/>
      <c r="CD759" s="34"/>
      <c r="CE759" s="34"/>
      <c r="CF759" s="34"/>
      <c r="CG759" s="34"/>
      <c r="CH759" s="27"/>
      <c r="CI759" s="64" t="str">
        <f>AI759</f>
        <v>138.2</v>
      </c>
      <c r="CJ759" s="27"/>
      <c r="CK759" s="28"/>
      <c r="CL759" s="39"/>
    </row>
    <row r="760" spans="1:90" ht="17.649999999999999" customHeight="1" x14ac:dyDescent="0.25">
      <c r="A760" s="20"/>
      <c r="B760" s="31"/>
      <c r="C760" s="30"/>
      <c r="D760" s="34"/>
      <c r="E760" s="34"/>
      <c r="F760" s="34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9"/>
      <c r="AM760" s="29"/>
      <c r="AN760" s="29"/>
      <c r="AO760" s="23"/>
      <c r="AP760" s="23"/>
      <c r="AQ760" s="23"/>
      <c r="AR760" s="34"/>
      <c r="AS760" s="34"/>
      <c r="AT760" s="34"/>
      <c r="AU760" s="34"/>
      <c r="AV760" s="34"/>
      <c r="AW760" s="34"/>
      <c r="AX760" s="34"/>
      <c r="AY760" s="34"/>
      <c r="AZ760" s="34"/>
      <c r="BA760" s="34"/>
      <c r="BB760" s="34"/>
      <c r="BC760" s="34"/>
      <c r="BD760" s="34"/>
      <c r="BE760" s="34"/>
      <c r="BF760" s="34"/>
      <c r="BG760" s="34"/>
      <c r="BH760" s="34"/>
      <c r="BI760" s="34"/>
      <c r="BJ760" s="34"/>
      <c r="BK760" s="34"/>
      <c r="BL760" s="34"/>
      <c r="BM760" s="34"/>
      <c r="BN760" s="34"/>
      <c r="BO760" s="34"/>
      <c r="BP760" s="34"/>
      <c r="BQ760" s="34"/>
      <c r="BR760" s="34"/>
      <c r="BS760" s="34"/>
      <c r="BT760" s="34"/>
      <c r="BU760" s="34"/>
      <c r="BV760" s="34"/>
      <c r="BW760" s="34"/>
      <c r="BX760" s="34"/>
      <c r="BY760" s="34"/>
      <c r="BZ760" s="34"/>
      <c r="CA760" s="34"/>
      <c r="CB760" s="34"/>
      <c r="CC760" s="34"/>
      <c r="CD760" s="34"/>
      <c r="CE760" s="34"/>
      <c r="CF760" s="34"/>
      <c r="CG760" s="34"/>
      <c r="CH760" s="27"/>
      <c r="CI760" s="64"/>
      <c r="CJ760" s="27"/>
      <c r="CK760" s="28"/>
      <c r="CL760" s="39"/>
    </row>
    <row r="761" spans="1:90" ht="17.649999999999999" customHeight="1" x14ac:dyDescent="0.25">
      <c r="A761" s="20"/>
      <c r="B761" s="31"/>
      <c r="C761" s="30"/>
      <c r="D761" s="23" t="s">
        <v>387</v>
      </c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  <c r="AQ761" s="29"/>
      <c r="AR761" s="29"/>
      <c r="AS761" s="29"/>
      <c r="AT761" s="29"/>
      <c r="AU761" s="29"/>
      <c r="AV761" s="29"/>
      <c r="AW761" s="29"/>
      <c r="AX761" s="29"/>
      <c r="AY761" s="29"/>
      <c r="AZ761" s="29"/>
      <c r="BA761" s="34"/>
      <c r="BB761" s="34"/>
      <c r="BC761" s="34"/>
      <c r="BD761" s="34"/>
      <c r="BE761" s="34"/>
      <c r="BF761" s="34"/>
      <c r="BG761" s="34"/>
      <c r="BH761" s="34"/>
      <c r="BI761" s="34"/>
      <c r="BJ761" s="34"/>
      <c r="BK761" s="34"/>
      <c r="BL761" s="34"/>
      <c r="BM761" s="34"/>
      <c r="BN761" s="34"/>
      <c r="BO761" s="34"/>
      <c r="BP761" s="34"/>
      <c r="BQ761" s="34"/>
      <c r="BR761" s="34"/>
      <c r="BS761" s="34"/>
      <c r="BT761" s="34"/>
      <c r="BU761" s="34"/>
      <c r="BV761" s="34"/>
      <c r="BW761" s="34"/>
      <c r="BX761" s="34"/>
      <c r="BY761" s="34"/>
      <c r="BZ761" s="34"/>
      <c r="CA761" s="34"/>
      <c r="CB761" s="34"/>
      <c r="CC761" s="34"/>
      <c r="CD761" s="34"/>
      <c r="CE761" s="34"/>
      <c r="CF761" s="34"/>
      <c r="CG761" s="34"/>
      <c r="CH761" s="27"/>
      <c r="CI761" s="64"/>
      <c r="CJ761" s="27"/>
      <c r="CK761" s="28"/>
      <c r="CL761" s="39"/>
    </row>
    <row r="762" spans="1:90" ht="17.649999999999999" customHeight="1" x14ac:dyDescent="0.2">
      <c r="A762" s="20"/>
      <c r="B762" s="31"/>
      <c r="C762" s="30"/>
      <c r="D762" s="23" t="s">
        <v>94</v>
      </c>
      <c r="E762" s="23"/>
      <c r="F762" s="23"/>
      <c r="G762" s="23" t="s">
        <v>123</v>
      </c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  <c r="AQ762" s="23"/>
      <c r="AR762" s="23"/>
      <c r="AS762" s="23"/>
      <c r="AT762" s="23"/>
      <c r="AU762" s="23"/>
      <c r="AV762" s="23"/>
      <c r="AW762" s="23"/>
      <c r="AX762" s="23"/>
      <c r="AY762" s="23"/>
      <c r="AZ762" s="23"/>
      <c r="BA762" s="34"/>
      <c r="BB762" s="34"/>
      <c r="BC762" s="34"/>
      <c r="BD762" s="34"/>
      <c r="BE762" s="34"/>
      <c r="BF762" s="34"/>
      <c r="BG762" s="34"/>
      <c r="BH762" s="34"/>
      <c r="BI762" s="34"/>
      <c r="BJ762" s="34"/>
      <c r="BK762" s="34"/>
      <c r="BL762" s="34"/>
      <c r="BM762" s="34"/>
      <c r="BN762" s="34"/>
      <c r="BO762" s="34"/>
      <c r="BP762" s="34"/>
      <c r="BQ762" s="34"/>
      <c r="BR762" s="34"/>
      <c r="BS762" s="34"/>
      <c r="BT762" s="34"/>
      <c r="BU762" s="34"/>
      <c r="BV762" s="34"/>
      <c r="BW762" s="34"/>
      <c r="BX762" s="34"/>
      <c r="BY762" s="34"/>
      <c r="BZ762" s="34"/>
      <c r="CA762" s="34"/>
      <c r="CB762" s="34"/>
      <c r="CC762" s="34"/>
      <c r="CD762" s="34"/>
      <c r="CE762" s="34"/>
      <c r="CF762" s="34"/>
      <c r="CG762" s="34"/>
      <c r="CH762" s="27"/>
      <c r="CI762" s="64"/>
      <c r="CJ762" s="27"/>
      <c r="CK762" s="28"/>
      <c r="CL762" s="39"/>
    </row>
    <row r="763" spans="1:90" ht="17.649999999999999" customHeight="1" x14ac:dyDescent="0.25">
      <c r="A763" s="20"/>
      <c r="B763" s="31"/>
      <c r="C763" s="30"/>
      <c r="D763" s="23"/>
      <c r="E763" s="23"/>
      <c r="F763" s="23"/>
      <c r="G763" s="23" t="s">
        <v>397</v>
      </c>
      <c r="H763" s="23"/>
      <c r="I763" s="23"/>
      <c r="J763" s="23"/>
      <c r="K763" s="23"/>
      <c r="L763" s="23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3" t="s">
        <v>121</v>
      </c>
      <c r="X763" s="29"/>
      <c r="Y763" s="29"/>
      <c r="Z763" s="23" t="str">
        <f>TEXT([1]자재단가!M97,"#,##0.#######")</f>
        <v>5,777.</v>
      </c>
      <c r="AA763" s="23"/>
      <c r="AB763" s="23"/>
      <c r="AC763" s="23"/>
      <c r="AD763" s="23"/>
      <c r="AE763" s="23"/>
      <c r="AF763" s="23" t="s">
        <v>102</v>
      </c>
      <c r="AG763" s="23"/>
      <c r="AH763" s="23"/>
      <c r="AI763" s="23" t="str">
        <f>TEXT(0.199,"#,##0.#######")</f>
        <v>0.199</v>
      </c>
      <c r="AJ763" s="23"/>
      <c r="AK763" s="23"/>
      <c r="AL763" s="34"/>
      <c r="AM763" s="34"/>
      <c r="AN763" s="38" t="s">
        <v>354</v>
      </c>
      <c r="AO763" s="38"/>
      <c r="AP763" s="23"/>
      <c r="AQ763" s="23" t="s">
        <v>103</v>
      </c>
      <c r="AR763" s="23"/>
      <c r="AS763" s="23" t="str">
        <f>TEXT(TRUNC(Z763*AI763,1),"#,##0.#")</f>
        <v>1,149.6</v>
      </c>
      <c r="AT763" s="23"/>
      <c r="AU763" s="29"/>
      <c r="AV763" s="29"/>
      <c r="AW763" s="29"/>
      <c r="AX763" s="29"/>
      <c r="AY763" s="29"/>
      <c r="AZ763" s="29"/>
      <c r="BA763" s="34"/>
      <c r="BB763" s="34"/>
      <c r="BC763" s="34"/>
      <c r="BD763" s="34"/>
      <c r="BE763" s="34"/>
      <c r="BF763" s="34"/>
      <c r="BG763" s="34"/>
      <c r="BH763" s="34"/>
      <c r="BI763" s="34"/>
      <c r="BJ763" s="34"/>
      <c r="BK763" s="34"/>
      <c r="BL763" s="34"/>
      <c r="BM763" s="34"/>
      <c r="BN763" s="34"/>
      <c r="BO763" s="34"/>
      <c r="BP763" s="34"/>
      <c r="BQ763" s="34"/>
      <c r="BR763" s="34"/>
      <c r="BS763" s="34"/>
      <c r="BT763" s="34"/>
      <c r="BU763" s="34"/>
      <c r="BV763" s="34"/>
      <c r="BW763" s="34"/>
      <c r="BX763" s="34"/>
      <c r="BY763" s="34"/>
      <c r="BZ763" s="34"/>
      <c r="CA763" s="34"/>
      <c r="CB763" s="34"/>
      <c r="CC763" s="34"/>
      <c r="CD763" s="34"/>
      <c r="CE763" s="34"/>
      <c r="CF763" s="34"/>
      <c r="CG763" s="34"/>
      <c r="CH763" s="27"/>
      <c r="CI763" s="64"/>
      <c r="CJ763" s="27" t="str">
        <f>AS763</f>
        <v>1,149.6</v>
      </c>
      <c r="CK763" s="28"/>
      <c r="CL763" s="39"/>
    </row>
    <row r="764" spans="1:90" ht="17.649999999999999" customHeight="1" x14ac:dyDescent="0.25">
      <c r="A764" s="20"/>
      <c r="B764" s="31"/>
      <c r="C764" s="30"/>
      <c r="D764" s="23"/>
      <c r="E764" s="23"/>
      <c r="F764" s="23"/>
      <c r="G764" s="23" t="s">
        <v>384</v>
      </c>
      <c r="H764" s="23"/>
      <c r="I764" s="23"/>
      <c r="J764" s="23"/>
      <c r="K764" s="23"/>
      <c r="L764" s="23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3" t="s">
        <v>121</v>
      </c>
      <c r="X764" s="29"/>
      <c r="Y764" s="29"/>
      <c r="Z764" s="23" t="str">
        <f>TEXT([1]자재단가!$M$98,"#,##0.#######")</f>
        <v>3,338.</v>
      </c>
      <c r="AA764" s="23"/>
      <c r="AB764" s="23"/>
      <c r="AC764" s="23"/>
      <c r="AD764" s="23"/>
      <c r="AE764" s="23"/>
      <c r="AF764" s="23" t="s">
        <v>102</v>
      </c>
      <c r="AG764" s="23"/>
      <c r="AH764" s="23"/>
      <c r="AI764" s="23" t="str">
        <f>TEXT(0.008,"#,##0.#######")</f>
        <v>0.008</v>
      </c>
      <c r="AJ764" s="23"/>
      <c r="AK764" s="23"/>
      <c r="AL764" s="29"/>
      <c r="AM764" s="29"/>
      <c r="AN764" s="38" t="s">
        <v>354</v>
      </c>
      <c r="AO764" s="23"/>
      <c r="AP764" s="23"/>
      <c r="AQ764" s="23" t="s">
        <v>103</v>
      </c>
      <c r="AR764" s="23"/>
      <c r="AS764" s="23" t="str">
        <f>TEXT(TRUNC(Z764*AI764,1),"#,##0.#")</f>
        <v>26.7</v>
      </c>
      <c r="AT764" s="23"/>
      <c r="AU764" s="29"/>
      <c r="AV764" s="29"/>
      <c r="AW764" s="29"/>
      <c r="AX764" s="29"/>
      <c r="AY764" s="29"/>
      <c r="AZ764" s="29"/>
      <c r="BA764" s="34"/>
      <c r="BB764" s="34"/>
      <c r="BC764" s="34"/>
      <c r="BD764" s="34"/>
      <c r="BE764" s="34"/>
      <c r="BF764" s="34"/>
      <c r="BG764" s="34"/>
      <c r="BH764" s="34"/>
      <c r="BI764" s="34"/>
      <c r="BJ764" s="34"/>
      <c r="BK764" s="34"/>
      <c r="BL764" s="34"/>
      <c r="BM764" s="34"/>
      <c r="BN764" s="34"/>
      <c r="BO764" s="34"/>
      <c r="BP764" s="34"/>
      <c r="BQ764" s="34"/>
      <c r="BR764" s="34"/>
      <c r="BS764" s="34"/>
      <c r="BT764" s="34"/>
      <c r="BU764" s="34"/>
      <c r="BV764" s="34"/>
      <c r="BW764" s="34"/>
      <c r="BX764" s="34"/>
      <c r="BY764" s="34"/>
      <c r="BZ764" s="34"/>
      <c r="CA764" s="34"/>
      <c r="CB764" s="34"/>
      <c r="CC764" s="34"/>
      <c r="CD764" s="34"/>
      <c r="CE764" s="34"/>
      <c r="CF764" s="34"/>
      <c r="CG764" s="34"/>
      <c r="CH764" s="27"/>
      <c r="CI764" s="64"/>
      <c r="CJ764" s="27" t="str">
        <f>AS764</f>
        <v>26.7</v>
      </c>
      <c r="CK764" s="28"/>
      <c r="CL764" s="39"/>
    </row>
    <row r="765" spans="1:90" ht="17.649999999999999" customHeight="1" x14ac:dyDescent="0.25">
      <c r="A765" s="20"/>
      <c r="B765" s="31"/>
      <c r="C765" s="30"/>
      <c r="D765" s="23"/>
      <c r="E765" s="23"/>
      <c r="F765" s="23"/>
      <c r="G765" s="23" t="s">
        <v>389</v>
      </c>
      <c r="H765" s="23"/>
      <c r="I765" s="23"/>
      <c r="J765" s="23"/>
      <c r="K765" s="23"/>
      <c r="L765" s="23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3" t="s">
        <v>121</v>
      </c>
      <c r="X765" s="29"/>
      <c r="Y765" s="29"/>
      <c r="Z765" s="23" t="str">
        <f>TEXT(AS763+AS764,"#,##0.#######")</f>
        <v>1,176.3</v>
      </c>
      <c r="AA765" s="23"/>
      <c r="AB765" s="23"/>
      <c r="AC765" s="23"/>
      <c r="AD765" s="23"/>
      <c r="AE765" s="23"/>
      <c r="AF765" s="23" t="s">
        <v>102</v>
      </c>
      <c r="AG765" s="23"/>
      <c r="AH765" s="23"/>
      <c r="AI765" s="23" t="str">
        <f>TEXT(0.04,"#,##0.#######")</f>
        <v>0.04</v>
      </c>
      <c r="AJ765" s="23"/>
      <c r="AK765" s="23"/>
      <c r="AL765" s="29"/>
      <c r="AM765" s="29"/>
      <c r="AN765" s="38"/>
      <c r="AO765" s="23"/>
      <c r="AP765" s="23"/>
      <c r="AQ765" s="23" t="s">
        <v>103</v>
      </c>
      <c r="AR765" s="23"/>
      <c r="AS765" s="23" t="str">
        <f>TEXT(TRUNC(Z765*AI765,1),"#,##0.#")</f>
        <v>47.</v>
      </c>
      <c r="AT765" s="23"/>
      <c r="AU765" s="29"/>
      <c r="AV765" s="29"/>
      <c r="AW765" s="29"/>
      <c r="AX765" s="29"/>
      <c r="AY765" s="29"/>
      <c r="AZ765" s="29"/>
      <c r="BA765" s="34"/>
      <c r="BB765" s="34"/>
      <c r="BC765" s="34"/>
      <c r="BD765" s="34"/>
      <c r="BE765" s="34"/>
      <c r="BF765" s="34"/>
      <c r="BG765" s="34"/>
      <c r="BH765" s="34"/>
      <c r="BI765" s="34"/>
      <c r="BJ765" s="34"/>
      <c r="BK765" s="34"/>
      <c r="BL765" s="34"/>
      <c r="BM765" s="34"/>
      <c r="BN765" s="34"/>
      <c r="BO765" s="34"/>
      <c r="BP765" s="34"/>
      <c r="BQ765" s="34"/>
      <c r="BR765" s="34"/>
      <c r="BS765" s="34"/>
      <c r="BT765" s="34"/>
      <c r="BU765" s="34"/>
      <c r="BV765" s="34"/>
      <c r="BW765" s="34"/>
      <c r="BX765" s="34"/>
      <c r="BY765" s="34"/>
      <c r="BZ765" s="34"/>
      <c r="CA765" s="34"/>
      <c r="CB765" s="34"/>
      <c r="CC765" s="34"/>
      <c r="CD765" s="34"/>
      <c r="CE765" s="34"/>
      <c r="CF765" s="34"/>
      <c r="CG765" s="34"/>
      <c r="CH765" s="27"/>
      <c r="CI765" s="64"/>
      <c r="CJ765" s="27" t="str">
        <f>AS765</f>
        <v>47.</v>
      </c>
      <c r="CK765" s="28"/>
      <c r="CL765" s="39"/>
    </row>
    <row r="766" spans="1:90" ht="17.649999999999999" customHeight="1" x14ac:dyDescent="0.25">
      <c r="A766" s="20"/>
      <c r="B766" s="31"/>
      <c r="C766" s="30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9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  <c r="AQ766" s="29"/>
      <c r="AR766" s="29"/>
      <c r="AS766" s="29"/>
      <c r="AT766" s="23"/>
      <c r="AU766" s="23"/>
      <c r="AV766" s="23"/>
      <c r="AW766" s="23"/>
      <c r="AX766" s="23"/>
      <c r="AY766" s="23"/>
      <c r="AZ766" s="23"/>
      <c r="BA766" s="34"/>
      <c r="BB766" s="34"/>
      <c r="BC766" s="34"/>
      <c r="BD766" s="34"/>
      <c r="BE766" s="34"/>
      <c r="BF766" s="34"/>
      <c r="BG766" s="34"/>
      <c r="BH766" s="34"/>
      <c r="BI766" s="34"/>
      <c r="BJ766" s="34"/>
      <c r="BK766" s="34"/>
      <c r="BL766" s="34"/>
      <c r="BM766" s="34"/>
      <c r="BN766" s="34"/>
      <c r="BO766" s="34"/>
      <c r="BP766" s="34"/>
      <c r="BQ766" s="34"/>
      <c r="BR766" s="34"/>
      <c r="BS766" s="34"/>
      <c r="BT766" s="34"/>
      <c r="BU766" s="34"/>
      <c r="BV766" s="34"/>
      <c r="BW766" s="34"/>
      <c r="BX766" s="34"/>
      <c r="BY766" s="34"/>
      <c r="BZ766" s="34"/>
      <c r="CA766" s="34"/>
      <c r="CB766" s="34"/>
      <c r="CC766" s="34"/>
      <c r="CD766" s="34"/>
      <c r="CE766" s="34"/>
      <c r="CF766" s="34"/>
      <c r="CG766" s="34"/>
      <c r="CH766" s="27"/>
      <c r="CI766" s="64"/>
      <c r="CJ766" s="27"/>
      <c r="CK766" s="28"/>
      <c r="CL766" s="39"/>
    </row>
    <row r="767" spans="1:90" ht="17.649999999999999" customHeight="1" x14ac:dyDescent="0.2">
      <c r="A767" s="20"/>
      <c r="B767" s="31"/>
      <c r="C767" s="30"/>
      <c r="D767" s="23" t="s">
        <v>168</v>
      </c>
      <c r="E767" s="23"/>
      <c r="F767" s="23"/>
      <c r="G767" s="23" t="s">
        <v>161</v>
      </c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  <c r="AQ767" s="23"/>
      <c r="AR767" s="23"/>
      <c r="AS767" s="23"/>
      <c r="AT767" s="23"/>
      <c r="AU767" s="23"/>
      <c r="AV767" s="23"/>
      <c r="AW767" s="23"/>
      <c r="AX767" s="23"/>
      <c r="AY767" s="23"/>
      <c r="AZ767" s="23"/>
      <c r="BA767" s="34"/>
      <c r="BB767" s="34"/>
      <c r="BC767" s="34"/>
      <c r="BD767" s="34"/>
      <c r="BE767" s="34"/>
      <c r="BF767" s="34"/>
      <c r="BG767" s="34"/>
      <c r="BH767" s="34"/>
      <c r="BI767" s="34"/>
      <c r="BJ767" s="34"/>
      <c r="BK767" s="34"/>
      <c r="BL767" s="34"/>
      <c r="BM767" s="34"/>
      <c r="BN767" s="34"/>
      <c r="BO767" s="34"/>
      <c r="BP767" s="34"/>
      <c r="BQ767" s="34"/>
      <c r="BR767" s="34"/>
      <c r="BS767" s="34"/>
      <c r="BT767" s="34"/>
      <c r="BU767" s="34"/>
      <c r="BV767" s="34"/>
      <c r="BW767" s="34"/>
      <c r="BX767" s="34"/>
      <c r="BY767" s="34"/>
      <c r="BZ767" s="34"/>
      <c r="CA767" s="34"/>
      <c r="CB767" s="34"/>
      <c r="CC767" s="34"/>
      <c r="CD767" s="34"/>
      <c r="CE767" s="34"/>
      <c r="CF767" s="34"/>
      <c r="CG767" s="34"/>
      <c r="CH767" s="27"/>
      <c r="CI767" s="64"/>
      <c r="CJ767" s="27"/>
      <c r="CK767" s="28"/>
      <c r="CL767" s="39"/>
    </row>
    <row r="768" spans="1:90" ht="17.649999999999999" customHeight="1" x14ac:dyDescent="0.25">
      <c r="A768" s="20"/>
      <c r="B768" s="31"/>
      <c r="C768" s="30"/>
      <c r="D768" s="23"/>
      <c r="E768" s="23"/>
      <c r="F768" s="23"/>
      <c r="G768" s="23" t="s">
        <v>386</v>
      </c>
      <c r="H768" s="23"/>
      <c r="I768" s="23"/>
      <c r="J768" s="23"/>
      <c r="K768" s="23"/>
      <c r="L768" s="23"/>
      <c r="M768" s="23"/>
      <c r="N768" s="23" t="s">
        <v>121</v>
      </c>
      <c r="O768" s="23"/>
      <c r="P768" s="23" t="str">
        <f>TEXT([1]노임및중기단가!$I$17,"#,##0")</f>
        <v>198,613</v>
      </c>
      <c r="Q768" s="23"/>
      <c r="R768" s="23"/>
      <c r="S768" s="23"/>
      <c r="T768" s="23"/>
      <c r="U768" s="23"/>
      <c r="V768" s="23"/>
      <c r="W768" s="23" t="s">
        <v>102</v>
      </c>
      <c r="X768" s="23"/>
      <c r="Y768" s="23"/>
      <c r="Z768" s="23" t="str">
        <f>TEXT(0.048,"#,##0.#######")</f>
        <v>0.048</v>
      </c>
      <c r="AA768" s="23"/>
      <c r="AB768" s="23"/>
      <c r="AC768" s="23"/>
      <c r="AD768" s="23" t="s">
        <v>243</v>
      </c>
      <c r="AE768" s="23"/>
      <c r="AF768" s="23"/>
      <c r="AG768" s="23" t="s">
        <v>103</v>
      </c>
      <c r="AH768" s="23"/>
      <c r="AI768" s="23" t="str">
        <f>TEXT(TRUNC(P768*Z768,1),"#,##0.#")</f>
        <v>9,533.4</v>
      </c>
      <c r="AJ768" s="23"/>
      <c r="AK768" s="23"/>
      <c r="AL768" s="29"/>
      <c r="AM768" s="29"/>
      <c r="AN768" s="29"/>
      <c r="AO768" s="23"/>
      <c r="AP768" s="23"/>
      <c r="AQ768" s="23"/>
      <c r="AR768" s="23"/>
      <c r="AS768" s="23"/>
      <c r="AT768" s="23"/>
      <c r="AU768" s="23"/>
      <c r="AV768" s="23"/>
      <c r="AW768" s="23"/>
      <c r="AX768" s="23"/>
      <c r="AY768" s="23"/>
      <c r="AZ768" s="23"/>
      <c r="BA768" s="23"/>
      <c r="BB768" s="23"/>
      <c r="BC768" s="23"/>
      <c r="BD768" s="23"/>
      <c r="BE768" s="23"/>
      <c r="BF768" s="23"/>
      <c r="BG768" s="23"/>
      <c r="BH768" s="23"/>
      <c r="BI768" s="23"/>
      <c r="BJ768" s="23"/>
      <c r="BK768" s="23"/>
      <c r="BL768" s="23"/>
      <c r="BM768" s="23"/>
      <c r="BN768" s="23"/>
      <c r="BO768" s="23"/>
      <c r="BP768" s="23"/>
      <c r="BQ768" s="23"/>
      <c r="BR768" s="23"/>
      <c r="BS768" s="23"/>
      <c r="BT768" s="23"/>
      <c r="BU768" s="23"/>
      <c r="BV768" s="23"/>
      <c r="BW768" s="23"/>
      <c r="BX768" s="23"/>
      <c r="BY768" s="23"/>
      <c r="BZ768" s="23"/>
      <c r="CA768" s="23"/>
      <c r="CB768" s="23"/>
      <c r="CC768" s="23"/>
      <c r="CD768" s="23"/>
      <c r="CE768" s="23"/>
      <c r="CF768" s="23"/>
      <c r="CG768" s="23"/>
      <c r="CH768" s="27"/>
      <c r="CI768" s="64" t="str">
        <f>AI768</f>
        <v>9,533.4</v>
      </c>
      <c r="CJ768" s="27"/>
      <c r="CK768" s="28"/>
      <c r="CL768" s="39"/>
    </row>
    <row r="769" spans="1:90" ht="17.649999999999999" customHeight="1" x14ac:dyDescent="0.25">
      <c r="A769" s="20"/>
      <c r="B769" s="31"/>
      <c r="C769" s="30"/>
      <c r="D769" s="34"/>
      <c r="E769" s="34"/>
      <c r="F769" s="34"/>
      <c r="G769" s="23" t="s">
        <v>322</v>
      </c>
      <c r="H769" s="23"/>
      <c r="I769" s="23"/>
      <c r="J769" s="23"/>
      <c r="K769" s="23"/>
      <c r="L769" s="23"/>
      <c r="M769" s="23"/>
      <c r="N769" s="23" t="s">
        <v>121</v>
      </c>
      <c r="O769" s="23"/>
      <c r="P769" s="23" t="str">
        <f>TEXT([1]노임및중기단가!$I$8,"#,##0")</f>
        <v>138,290</v>
      </c>
      <c r="Q769" s="23"/>
      <c r="R769" s="23"/>
      <c r="S769" s="23"/>
      <c r="T769" s="23"/>
      <c r="U769" s="23"/>
      <c r="V769" s="23"/>
      <c r="W769" s="23" t="s">
        <v>102</v>
      </c>
      <c r="X769" s="23"/>
      <c r="Y769" s="23"/>
      <c r="Z769" s="23" t="str">
        <f>TEXT(0.008,"#,##0.#######")</f>
        <v>0.008</v>
      </c>
      <c r="AA769" s="23"/>
      <c r="AB769" s="23"/>
      <c r="AC769" s="23"/>
      <c r="AD769" s="23" t="s">
        <v>243</v>
      </c>
      <c r="AE769" s="23"/>
      <c r="AF769" s="23"/>
      <c r="AG769" s="23" t="s">
        <v>103</v>
      </c>
      <c r="AH769" s="23"/>
      <c r="AI769" s="23" t="str">
        <f>TEXT(TRUNC(P769*Z769,1),"#,##0.#")</f>
        <v>1,106.3</v>
      </c>
      <c r="AJ769" s="23"/>
      <c r="AK769" s="23"/>
      <c r="AL769" s="29"/>
      <c r="AM769" s="29"/>
      <c r="AN769" s="29"/>
      <c r="AO769" s="23"/>
      <c r="AP769" s="23"/>
      <c r="AQ769" s="23"/>
      <c r="AR769" s="34"/>
      <c r="AS769" s="34"/>
      <c r="AT769" s="34"/>
      <c r="AU769" s="34"/>
      <c r="AV769" s="34"/>
      <c r="AW769" s="34"/>
      <c r="AX769" s="34"/>
      <c r="AY769" s="34"/>
      <c r="AZ769" s="34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  <c r="BN769" s="23"/>
      <c r="BO769" s="23"/>
      <c r="BP769" s="23"/>
      <c r="BQ769" s="23"/>
      <c r="BR769" s="23"/>
      <c r="BS769" s="23"/>
      <c r="BT769" s="23"/>
      <c r="BU769" s="23"/>
      <c r="BV769" s="23"/>
      <c r="BW769" s="23"/>
      <c r="BX769" s="23"/>
      <c r="BY769" s="23"/>
      <c r="BZ769" s="23"/>
      <c r="CA769" s="23"/>
      <c r="CB769" s="23"/>
      <c r="CC769" s="23"/>
      <c r="CD769" s="23"/>
      <c r="CE769" s="23"/>
      <c r="CF769" s="23"/>
      <c r="CG769" s="23"/>
      <c r="CH769" s="27"/>
      <c r="CI769" s="64" t="str">
        <f>AI769</f>
        <v>1,106.3</v>
      </c>
      <c r="CJ769" s="27"/>
      <c r="CK769" s="28"/>
      <c r="CL769" s="39"/>
    </row>
    <row r="770" spans="1:90" ht="17.649999999999999" customHeight="1" x14ac:dyDescent="0.25">
      <c r="A770" s="20"/>
      <c r="B770" s="31"/>
      <c r="C770" s="30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9"/>
      <c r="AM770" s="29"/>
      <c r="AN770" s="29"/>
      <c r="AO770" s="29"/>
      <c r="AP770" s="29"/>
      <c r="AQ770" s="29"/>
      <c r="AR770" s="29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  <c r="BN770" s="23"/>
      <c r="BO770" s="23"/>
      <c r="BP770" s="23"/>
      <c r="BQ770" s="23"/>
      <c r="BR770" s="23"/>
      <c r="BS770" s="23"/>
      <c r="BT770" s="23"/>
      <c r="BU770" s="23"/>
      <c r="BV770" s="23"/>
      <c r="BW770" s="23"/>
      <c r="BX770" s="23"/>
      <c r="BY770" s="23"/>
      <c r="BZ770" s="23"/>
      <c r="CA770" s="23"/>
      <c r="CB770" s="23"/>
      <c r="CC770" s="23"/>
      <c r="CD770" s="23"/>
      <c r="CE770" s="23"/>
      <c r="CF770" s="23"/>
      <c r="CG770" s="23"/>
      <c r="CH770" s="27"/>
      <c r="CI770" s="64"/>
      <c r="CJ770" s="27"/>
      <c r="CK770" s="28"/>
      <c r="CL770" s="39"/>
    </row>
    <row r="771" spans="1:90" ht="17.649999999999999" customHeight="1" x14ac:dyDescent="0.2">
      <c r="A771" s="20"/>
      <c r="B771" s="31"/>
      <c r="C771" s="30"/>
      <c r="D771" s="23" t="s">
        <v>85</v>
      </c>
      <c r="E771" s="23"/>
      <c r="F771" s="23"/>
      <c r="G771" s="23" t="s">
        <v>323</v>
      </c>
      <c r="H771" s="23"/>
      <c r="I771" s="23"/>
      <c r="J771" s="23"/>
      <c r="K771" s="23" t="s">
        <v>127</v>
      </c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34"/>
      <c r="Z771" s="34"/>
      <c r="AA771" s="34"/>
      <c r="AB771" s="34"/>
      <c r="AC771" s="34"/>
      <c r="AD771" s="34"/>
      <c r="AE771" s="34"/>
      <c r="AF771" s="34"/>
      <c r="AG771" s="34"/>
      <c r="AH771" s="34"/>
      <c r="AI771" s="34"/>
      <c r="AJ771" s="34"/>
      <c r="AK771" s="34"/>
      <c r="AL771" s="34"/>
      <c r="AM771" s="34"/>
      <c r="AN771" s="34"/>
      <c r="AO771" s="34"/>
      <c r="AP771" s="34"/>
      <c r="AQ771" s="34"/>
      <c r="AR771" s="34"/>
      <c r="AS771" s="34"/>
      <c r="AT771" s="34"/>
      <c r="AU771" s="34"/>
      <c r="AV771" s="34"/>
      <c r="AW771" s="34"/>
      <c r="AX771" s="34"/>
      <c r="AY771" s="34"/>
      <c r="AZ771" s="34"/>
      <c r="BA771" s="34"/>
      <c r="BB771" s="34"/>
      <c r="BC771" s="34"/>
      <c r="BD771" s="34"/>
      <c r="BE771" s="23"/>
      <c r="BF771" s="23"/>
      <c r="BG771" s="23"/>
      <c r="BH771" s="23"/>
      <c r="BI771" s="23"/>
      <c r="BJ771" s="23"/>
      <c r="BK771" s="34"/>
      <c r="BL771" s="34"/>
      <c r="BM771" s="34"/>
      <c r="BN771" s="34"/>
      <c r="BO771" s="34"/>
      <c r="BP771" s="34"/>
      <c r="BQ771" s="34"/>
      <c r="BR771" s="34"/>
      <c r="BS771" s="34"/>
      <c r="BT771" s="23"/>
      <c r="BU771" s="23"/>
      <c r="BV771" s="23"/>
      <c r="BW771" s="23"/>
      <c r="BX771" s="23"/>
      <c r="BY771" s="23"/>
      <c r="BZ771" s="23"/>
      <c r="CA771" s="23"/>
      <c r="CB771" s="23"/>
      <c r="CC771" s="23"/>
      <c r="CD771" s="23"/>
      <c r="CE771" s="23"/>
      <c r="CF771" s="23"/>
      <c r="CG771" s="23"/>
      <c r="CH771" s="27"/>
      <c r="CI771" s="64"/>
      <c r="CJ771" s="27"/>
      <c r="CK771" s="28"/>
      <c r="CL771" s="39"/>
    </row>
    <row r="772" spans="1:90" ht="17.649999999999999" customHeight="1" x14ac:dyDescent="0.25">
      <c r="A772" s="20"/>
      <c r="B772" s="31"/>
      <c r="C772" s="30"/>
      <c r="D772" s="34"/>
      <c r="E772" s="23"/>
      <c r="F772" s="23"/>
      <c r="G772" s="23"/>
      <c r="H772" s="23" t="s">
        <v>120</v>
      </c>
      <c r="I772" s="23"/>
      <c r="J772" s="23"/>
      <c r="K772" s="23"/>
      <c r="L772" s="23"/>
      <c r="M772" s="23"/>
      <c r="N772" s="23"/>
      <c r="O772" s="23" t="s">
        <v>121</v>
      </c>
      <c r="P772" s="23"/>
      <c r="Q772" s="23" t="str">
        <f>TEXT(AI758,"#,###.##")</f>
        <v>1,986.1</v>
      </c>
      <c r="R772" s="23"/>
      <c r="S772" s="23"/>
      <c r="T772" s="23"/>
      <c r="U772" s="23"/>
      <c r="V772" s="23" t="s">
        <v>97</v>
      </c>
      <c r="W772" s="34"/>
      <c r="X772" s="23" t="str">
        <f>TEXT(AI759,"#,###.##")</f>
        <v>138.2</v>
      </c>
      <c r="Y772" s="34"/>
      <c r="Z772" s="34"/>
      <c r="AA772" s="34"/>
      <c r="AB772" s="23" t="s">
        <v>97</v>
      </c>
      <c r="AC772" s="34"/>
      <c r="AD772" s="23" t="str">
        <f>TEXT(AI768,"#,###.##")</f>
        <v>9,533.4</v>
      </c>
      <c r="AE772" s="34"/>
      <c r="AF772" s="34"/>
      <c r="AG772" s="34"/>
      <c r="AH772" s="34"/>
      <c r="AI772" s="23" t="s">
        <v>97</v>
      </c>
      <c r="AJ772" s="34"/>
      <c r="AK772" s="23" t="str">
        <f>TEXT(AI769,"#,###.##")</f>
        <v>1,106.3</v>
      </c>
      <c r="AL772" s="34"/>
      <c r="AM772" s="34"/>
      <c r="AN772" s="34"/>
      <c r="AO772" s="23" t="s">
        <v>103</v>
      </c>
      <c r="AP772" s="23"/>
      <c r="AQ772" s="23" t="str">
        <f>TEXT(TRUNC(Q772+X772+AD772+AK772+BA772,0),"#,##0")</f>
        <v>12,764</v>
      </c>
      <c r="AR772" s="34"/>
      <c r="AS772" s="34"/>
      <c r="AT772" s="34"/>
      <c r="AU772" s="34"/>
      <c r="AV772" s="34"/>
      <c r="AW772" s="34"/>
      <c r="AX772" s="34"/>
      <c r="AY772" s="23"/>
      <c r="AZ772" s="34"/>
      <c r="BA772" s="23"/>
      <c r="BB772" s="23"/>
      <c r="BC772" s="23"/>
      <c r="BD772" s="23"/>
      <c r="BE772" s="29"/>
      <c r="BF772" s="23"/>
      <c r="BG772" s="34"/>
      <c r="BH772" s="34"/>
      <c r="BI772" s="34"/>
      <c r="BJ772" s="34"/>
      <c r="BK772" s="23"/>
      <c r="BL772" s="23"/>
      <c r="BM772" s="23"/>
      <c r="BN772" s="29"/>
      <c r="BO772" s="23"/>
      <c r="BP772" s="34"/>
      <c r="BQ772" s="34"/>
      <c r="BR772" s="34"/>
      <c r="BS772" s="34"/>
      <c r="BT772" s="29"/>
      <c r="BU772" s="29"/>
      <c r="BV772" s="23"/>
      <c r="BW772" s="23"/>
      <c r="BX772" s="23"/>
      <c r="BY772" s="23"/>
      <c r="BZ772" s="23"/>
      <c r="CA772" s="23"/>
      <c r="CB772" s="23"/>
      <c r="CC772" s="23"/>
      <c r="CD772" s="23"/>
      <c r="CE772" s="23"/>
      <c r="CF772" s="23"/>
      <c r="CG772" s="23"/>
      <c r="CH772" s="27"/>
      <c r="CI772" s="64"/>
      <c r="CJ772" s="27"/>
      <c r="CK772" s="28"/>
      <c r="CL772" s="39"/>
    </row>
    <row r="773" spans="1:90" ht="17.649999999999999" customHeight="1" x14ac:dyDescent="0.2">
      <c r="A773" s="20"/>
      <c r="B773" s="31"/>
      <c r="C773" s="30"/>
      <c r="D773" s="23"/>
      <c r="E773" s="23"/>
      <c r="F773" s="23"/>
      <c r="G773" s="23"/>
      <c r="H773" s="23" t="s">
        <v>123</v>
      </c>
      <c r="I773" s="23"/>
      <c r="J773" s="23"/>
      <c r="K773" s="23"/>
      <c r="L773" s="23"/>
      <c r="M773" s="23"/>
      <c r="N773" s="23"/>
      <c r="O773" s="23" t="s">
        <v>121</v>
      </c>
      <c r="P773" s="23"/>
      <c r="Q773" s="23" t="str">
        <f>TEXT(AS754,"#,###.##")</f>
        <v>165.</v>
      </c>
      <c r="R773" s="23"/>
      <c r="S773" s="23"/>
      <c r="T773" s="23"/>
      <c r="U773" s="23"/>
      <c r="V773" s="23" t="s">
        <v>97</v>
      </c>
      <c r="W773" s="23"/>
      <c r="X773" s="23" t="str">
        <f>TEXT(AS755,"#,###.##")</f>
        <v>26.</v>
      </c>
      <c r="Y773" s="23"/>
      <c r="Z773" s="23"/>
      <c r="AA773" s="23"/>
      <c r="AB773" s="23" t="s">
        <v>97</v>
      </c>
      <c r="AC773" s="34"/>
      <c r="AD773" s="23" t="str">
        <f>TEXT(AS763,"#,###.##")</f>
        <v>1,149.6</v>
      </c>
      <c r="AE773" s="34"/>
      <c r="AF773" s="34"/>
      <c r="AG773" s="34"/>
      <c r="AH773" s="23" t="s">
        <v>97</v>
      </c>
      <c r="AI773" s="34"/>
      <c r="AJ773" s="23"/>
      <c r="AK773" s="23" t="str">
        <f>TEXT(AS764,"#,###.##")</f>
        <v>26.7</v>
      </c>
      <c r="AL773" s="34"/>
      <c r="AM773" s="34"/>
      <c r="AN773" s="23" t="s">
        <v>97</v>
      </c>
      <c r="AO773" s="34"/>
      <c r="AP773" s="23" t="str">
        <f>TEXT(AS765,"#,###.##")</f>
        <v>47.</v>
      </c>
      <c r="AQ773" s="34"/>
      <c r="AR773" s="34"/>
      <c r="AS773" s="34"/>
      <c r="AT773" s="23" t="s">
        <v>103</v>
      </c>
      <c r="AU773" s="23"/>
      <c r="AV773" s="23" t="str">
        <f>TEXT(TRUNC(Q773+X773+AD773+AK773+AP773,0),"#,##0")</f>
        <v>1,414</v>
      </c>
      <c r="AW773" s="34"/>
      <c r="AX773" s="34"/>
      <c r="AY773" s="34"/>
      <c r="AZ773" s="34"/>
      <c r="BA773" s="34"/>
      <c r="BB773" s="34"/>
      <c r="BC773" s="34"/>
      <c r="BD773" s="34"/>
      <c r="BE773" s="34"/>
      <c r="BF773" s="34"/>
      <c r="BG773" s="34"/>
      <c r="BH773" s="34"/>
      <c r="BI773" s="34"/>
      <c r="BJ773" s="34"/>
      <c r="BK773" s="23"/>
      <c r="BL773" s="23"/>
      <c r="BM773" s="23"/>
      <c r="BN773" s="23"/>
      <c r="BO773" s="23"/>
      <c r="BP773" s="23"/>
      <c r="BQ773" s="23"/>
      <c r="BR773" s="23"/>
      <c r="BS773" s="23"/>
      <c r="BT773" s="23"/>
      <c r="BU773" s="23"/>
      <c r="BV773" s="23"/>
      <c r="BW773" s="23"/>
      <c r="BX773" s="23"/>
      <c r="BY773" s="23"/>
      <c r="BZ773" s="23"/>
      <c r="CA773" s="23"/>
      <c r="CB773" s="23"/>
      <c r="CC773" s="23"/>
      <c r="CD773" s="23"/>
      <c r="CE773" s="23"/>
      <c r="CF773" s="23"/>
      <c r="CG773" s="23"/>
      <c r="CH773" s="27"/>
      <c r="CI773" s="64"/>
      <c r="CJ773" s="27"/>
      <c r="CK773" s="28"/>
      <c r="CL773" s="39"/>
    </row>
    <row r="774" spans="1:90" ht="17.649999999999999" customHeight="1" x14ac:dyDescent="0.25">
      <c r="A774" s="20"/>
      <c r="B774" s="31"/>
      <c r="C774" s="30"/>
      <c r="D774" s="23"/>
      <c r="E774" s="23"/>
      <c r="F774" s="23"/>
      <c r="G774" s="23"/>
      <c r="H774" s="23" t="s">
        <v>124</v>
      </c>
      <c r="I774" s="23"/>
      <c r="J774" s="23"/>
      <c r="K774" s="23"/>
      <c r="L774" s="23" t="s">
        <v>125</v>
      </c>
      <c r="M774" s="23"/>
      <c r="N774" s="23"/>
      <c r="O774" s="23" t="s">
        <v>121</v>
      </c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9"/>
      <c r="AR774" s="29"/>
      <c r="AS774" s="29"/>
      <c r="AT774" s="23"/>
      <c r="AU774" s="29"/>
      <c r="AV774" s="34"/>
      <c r="AW774" s="34"/>
      <c r="AX774" s="34"/>
      <c r="AY774" s="34"/>
      <c r="AZ774" s="34"/>
      <c r="BA774" s="34"/>
      <c r="BB774" s="34"/>
      <c r="BC774" s="34"/>
      <c r="BD774" s="23"/>
      <c r="BE774" s="23"/>
      <c r="BF774" s="23"/>
      <c r="BG774" s="23"/>
      <c r="BH774" s="23"/>
      <c r="BI774" s="23"/>
      <c r="BJ774" s="34"/>
      <c r="BK774" s="23"/>
      <c r="BL774" s="23"/>
      <c r="BM774" s="23"/>
      <c r="BN774" s="23"/>
      <c r="BO774" s="23"/>
      <c r="BP774" s="23"/>
      <c r="BQ774" s="23"/>
      <c r="BR774" s="23"/>
      <c r="BS774" s="23"/>
      <c r="BT774" s="23"/>
      <c r="BU774" s="23"/>
      <c r="BV774" s="23"/>
      <c r="BW774" s="23"/>
      <c r="BX774" s="23"/>
      <c r="BY774" s="23"/>
      <c r="BZ774" s="23"/>
      <c r="CA774" s="23"/>
      <c r="CB774" s="23"/>
      <c r="CC774" s="23"/>
      <c r="CD774" s="23"/>
      <c r="CE774" s="23"/>
      <c r="CF774" s="23"/>
      <c r="CG774" s="23"/>
      <c r="CH774" s="27"/>
      <c r="CI774" s="64"/>
      <c r="CJ774" s="27"/>
      <c r="CK774" s="28"/>
      <c r="CL774" s="39"/>
    </row>
    <row r="775" spans="1:90" ht="17.649999999999999" customHeight="1" x14ac:dyDescent="0.25">
      <c r="A775" s="20"/>
      <c r="B775" s="31"/>
      <c r="C775" s="30"/>
      <c r="D775" s="23"/>
      <c r="E775" s="23"/>
      <c r="F775" s="23"/>
      <c r="G775" s="23"/>
      <c r="H775" s="23" t="s">
        <v>126</v>
      </c>
      <c r="I775" s="23"/>
      <c r="J775" s="23"/>
      <c r="K775" s="23"/>
      <c r="L775" s="23" t="s">
        <v>127</v>
      </c>
      <c r="M775" s="23"/>
      <c r="N775" s="23"/>
      <c r="O775" s="23" t="s">
        <v>121</v>
      </c>
      <c r="P775" s="23"/>
      <c r="Q775" s="23" t="str">
        <f>TEXT(AQ772+AV773,"#,##0")</f>
        <v>14,178</v>
      </c>
      <c r="R775" s="29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E775" s="23"/>
      <c r="BF775" s="23"/>
      <c r="BG775" s="23"/>
      <c r="BH775" s="23"/>
      <c r="BI775" s="23"/>
      <c r="BJ775" s="23"/>
      <c r="BK775" s="23"/>
      <c r="BL775" s="23"/>
      <c r="BM775" s="23"/>
      <c r="BN775" s="23"/>
      <c r="BO775" s="23"/>
      <c r="BP775" s="23"/>
      <c r="BQ775" s="23"/>
      <c r="BR775" s="23"/>
      <c r="BS775" s="23"/>
      <c r="BT775" s="23"/>
      <c r="BU775" s="23"/>
      <c r="BV775" s="23"/>
      <c r="BW775" s="23"/>
      <c r="BX775" s="23"/>
      <c r="BY775" s="23"/>
      <c r="BZ775" s="23"/>
      <c r="CA775" s="23"/>
      <c r="CB775" s="23"/>
      <c r="CC775" s="23"/>
      <c r="CD775" s="23"/>
      <c r="CE775" s="23"/>
      <c r="CF775" s="23"/>
      <c r="CG775" s="23"/>
      <c r="CH775" s="64">
        <f>CI775+CJ775+CK775</f>
        <v>14178</v>
      </c>
      <c r="CI775" s="64" t="str">
        <f>AQ772</f>
        <v>12,764</v>
      </c>
      <c r="CJ775" s="27" t="str">
        <f>AV773</f>
        <v>1,414</v>
      </c>
      <c r="CK775" s="28">
        <f>BI774</f>
        <v>0</v>
      </c>
      <c r="CL775" s="39"/>
    </row>
    <row r="776" spans="1:90" ht="17.649999999999999" customHeight="1" x14ac:dyDescent="0.2">
      <c r="A776" s="20"/>
      <c r="B776" s="31"/>
      <c r="C776" s="30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E776" s="23"/>
      <c r="BF776" s="23"/>
      <c r="BG776" s="23"/>
      <c r="BH776" s="23"/>
      <c r="BI776" s="23"/>
      <c r="BJ776" s="23"/>
      <c r="BK776" s="23"/>
      <c r="BL776" s="23"/>
      <c r="BM776" s="23"/>
      <c r="BN776" s="23"/>
      <c r="BO776" s="23"/>
      <c r="BP776" s="23"/>
      <c r="BQ776" s="23"/>
      <c r="BR776" s="23"/>
      <c r="BS776" s="23"/>
      <c r="BT776" s="23"/>
      <c r="BU776" s="23"/>
      <c r="BV776" s="23"/>
      <c r="BW776" s="23"/>
      <c r="BX776" s="23"/>
      <c r="BY776" s="23"/>
      <c r="BZ776" s="23"/>
      <c r="CA776" s="23"/>
      <c r="CB776" s="23"/>
      <c r="CC776" s="23"/>
      <c r="CD776" s="23"/>
      <c r="CE776" s="23"/>
      <c r="CF776" s="23"/>
      <c r="CG776" s="23"/>
      <c r="CH776" s="27"/>
      <c r="CI776" s="27"/>
      <c r="CJ776" s="27"/>
      <c r="CK776" s="28"/>
      <c r="CL776" s="39"/>
    </row>
    <row r="777" spans="1:90" ht="15" customHeight="1" x14ac:dyDescent="0.2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  <c r="AP777" s="20"/>
      <c r="AQ777" s="20"/>
      <c r="AR777" s="20"/>
      <c r="AS777" s="20"/>
      <c r="AT777" s="20"/>
      <c r="AU777" s="20"/>
      <c r="AV777" s="20"/>
      <c r="AW777" s="20"/>
      <c r="AX777" s="20"/>
      <c r="AY777" s="20"/>
      <c r="AZ777" s="20"/>
      <c r="BA777" s="20"/>
      <c r="BB777" s="20"/>
      <c r="BC777" s="20"/>
      <c r="BD777" s="20"/>
      <c r="BE777" s="20"/>
      <c r="BF777" s="20"/>
      <c r="BG777" s="20"/>
      <c r="BH777" s="20"/>
      <c r="BI777" s="20"/>
      <c r="BJ777" s="20"/>
      <c r="BK777" s="20"/>
      <c r="BL777" s="20"/>
      <c r="BM777" s="20"/>
      <c r="BN777" s="20"/>
      <c r="BO777" s="20"/>
      <c r="BP777" s="20"/>
      <c r="BQ777" s="20"/>
      <c r="BR777" s="20"/>
      <c r="BS777" s="20"/>
      <c r="BT777" s="20"/>
      <c r="BU777" s="20"/>
      <c r="BV777" s="20"/>
      <c r="BW777" s="20"/>
      <c r="BX777" s="20"/>
      <c r="BY777" s="20"/>
      <c r="BZ777" s="20"/>
      <c r="CA777" s="20"/>
      <c r="CB777" s="20"/>
      <c r="CC777" s="20"/>
      <c r="CD777" s="20"/>
      <c r="CE777" s="20"/>
      <c r="CF777" s="20"/>
      <c r="CG777" s="20"/>
      <c r="CH777" s="20"/>
      <c r="CI777" s="20"/>
      <c r="CJ777" s="20"/>
      <c r="CK777" s="20"/>
      <c r="CL777" s="20"/>
    </row>
    <row r="778" spans="1:90" ht="15" customHeight="1" x14ac:dyDescent="0.2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  <c r="AP778" s="20"/>
      <c r="AQ778" s="20"/>
      <c r="AR778" s="20"/>
      <c r="AS778" s="20"/>
      <c r="AT778" s="20"/>
      <c r="AU778" s="20"/>
      <c r="AV778" s="20"/>
      <c r="AW778" s="20"/>
      <c r="AX778" s="20"/>
      <c r="AY778" s="20"/>
      <c r="AZ778" s="20"/>
      <c r="BA778" s="20"/>
      <c r="BB778" s="20"/>
      <c r="BC778" s="20"/>
      <c r="BD778" s="20"/>
      <c r="BE778" s="20"/>
      <c r="BF778" s="20"/>
      <c r="BG778" s="20"/>
      <c r="BH778" s="20"/>
      <c r="BI778" s="20"/>
      <c r="BJ778" s="20"/>
      <c r="BK778" s="20"/>
      <c r="BL778" s="20"/>
      <c r="BM778" s="20"/>
      <c r="BN778" s="20"/>
      <c r="BO778" s="20"/>
      <c r="BP778" s="20"/>
      <c r="BQ778" s="20"/>
      <c r="BR778" s="20"/>
      <c r="BS778" s="20"/>
      <c r="BT778" s="20"/>
      <c r="BU778" s="20"/>
      <c r="BV778" s="20"/>
      <c r="BW778" s="20"/>
      <c r="BX778" s="20"/>
      <c r="BY778" s="20"/>
      <c r="BZ778" s="20"/>
      <c r="CA778" s="20"/>
      <c r="CB778" s="20"/>
      <c r="CC778" s="20"/>
      <c r="CD778" s="20"/>
      <c r="CE778" s="20"/>
      <c r="CF778" s="20"/>
      <c r="CG778" s="20"/>
      <c r="CH778" s="20"/>
      <c r="CI778" s="20"/>
      <c r="CJ778" s="20"/>
      <c r="CK778" s="20"/>
      <c r="CL778" s="20"/>
    </row>
    <row r="779" spans="1:90" ht="15" customHeight="1" x14ac:dyDescent="0.2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  <c r="AP779" s="20"/>
      <c r="AQ779" s="20"/>
      <c r="AR779" s="20"/>
      <c r="AS779" s="20"/>
      <c r="AT779" s="20"/>
      <c r="AU779" s="20"/>
      <c r="AV779" s="20"/>
      <c r="AW779" s="20"/>
      <c r="AX779" s="20"/>
      <c r="AY779" s="20"/>
      <c r="AZ779" s="20"/>
      <c r="BA779" s="20"/>
      <c r="BB779" s="20"/>
      <c r="BC779" s="20"/>
      <c r="BD779" s="20"/>
      <c r="BE779" s="20"/>
      <c r="BF779" s="20"/>
      <c r="BG779" s="20"/>
      <c r="BH779" s="20"/>
      <c r="BI779" s="20"/>
      <c r="BJ779" s="20"/>
      <c r="BK779" s="20"/>
      <c r="BL779" s="20"/>
      <c r="BM779" s="20"/>
      <c r="BN779" s="20"/>
      <c r="BO779" s="20"/>
      <c r="BP779" s="20"/>
      <c r="BQ779" s="20"/>
      <c r="BR779" s="20"/>
      <c r="BS779" s="20"/>
      <c r="BT779" s="20"/>
      <c r="BU779" s="20"/>
      <c r="BV779" s="20"/>
      <c r="BW779" s="20"/>
      <c r="BX779" s="20"/>
      <c r="BY779" s="20"/>
      <c r="BZ779" s="20"/>
      <c r="CA779" s="20"/>
      <c r="CB779" s="20"/>
      <c r="CC779" s="20"/>
      <c r="CD779" s="20"/>
      <c r="CE779" s="20"/>
      <c r="CF779" s="20"/>
      <c r="CG779" s="20"/>
      <c r="CH779" s="20"/>
      <c r="CI779" s="20"/>
      <c r="CJ779" s="20"/>
      <c r="CK779" s="20"/>
      <c r="CL779" s="20"/>
    </row>
    <row r="780" spans="1:90" ht="15" customHeight="1" x14ac:dyDescent="0.2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  <c r="AP780" s="20"/>
      <c r="AQ780" s="20"/>
      <c r="AR780" s="20"/>
      <c r="AS780" s="20"/>
      <c r="AT780" s="20"/>
      <c r="AU780" s="20"/>
      <c r="AV780" s="20"/>
      <c r="AW780" s="20"/>
      <c r="AX780" s="20"/>
      <c r="AY780" s="20"/>
      <c r="AZ780" s="20"/>
      <c r="BA780" s="20"/>
      <c r="BB780" s="20"/>
      <c r="BC780" s="20"/>
      <c r="BD780" s="20"/>
      <c r="BE780" s="20"/>
      <c r="BF780" s="20"/>
      <c r="BG780" s="20"/>
      <c r="BH780" s="20"/>
      <c r="BI780" s="20"/>
      <c r="BJ780" s="20"/>
      <c r="BK780" s="20"/>
      <c r="BL780" s="20"/>
      <c r="BM780" s="20"/>
      <c r="BN780" s="20"/>
      <c r="BO780" s="20"/>
      <c r="BP780" s="20"/>
      <c r="BQ780" s="20"/>
      <c r="BR780" s="20"/>
      <c r="BS780" s="20"/>
      <c r="BT780" s="20"/>
      <c r="BU780" s="20"/>
      <c r="BV780" s="20"/>
      <c r="BW780" s="20"/>
      <c r="BX780" s="20"/>
      <c r="BY780" s="20"/>
      <c r="BZ780" s="20"/>
      <c r="CA780" s="20"/>
      <c r="CB780" s="20"/>
      <c r="CC780" s="20"/>
      <c r="CD780" s="20"/>
      <c r="CE780" s="20"/>
      <c r="CF780" s="20"/>
      <c r="CG780" s="20"/>
      <c r="CH780" s="20"/>
      <c r="CI780" s="20"/>
      <c r="CJ780" s="20"/>
      <c r="CK780" s="20"/>
      <c r="CL780" s="20"/>
    </row>
    <row r="781" spans="1:90" ht="15" customHeight="1" x14ac:dyDescent="0.2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  <c r="AP781" s="20"/>
      <c r="AQ781" s="20"/>
      <c r="AR781" s="20"/>
      <c r="AS781" s="20"/>
      <c r="AT781" s="20"/>
      <c r="AU781" s="20"/>
      <c r="AV781" s="20"/>
      <c r="AW781" s="20"/>
      <c r="AX781" s="20"/>
      <c r="AY781" s="20"/>
      <c r="AZ781" s="20"/>
      <c r="BA781" s="20"/>
      <c r="BB781" s="20"/>
      <c r="BC781" s="20"/>
      <c r="BD781" s="20"/>
      <c r="BE781" s="20"/>
      <c r="BF781" s="20"/>
      <c r="BG781" s="20"/>
      <c r="BH781" s="20"/>
      <c r="BI781" s="20"/>
      <c r="BJ781" s="20"/>
      <c r="BK781" s="20"/>
      <c r="BL781" s="20"/>
      <c r="BM781" s="20"/>
      <c r="BN781" s="20"/>
      <c r="BO781" s="20"/>
      <c r="BP781" s="20"/>
      <c r="BQ781" s="20"/>
      <c r="BR781" s="20"/>
      <c r="BS781" s="20"/>
      <c r="BT781" s="20"/>
      <c r="BU781" s="20"/>
      <c r="BV781" s="20"/>
      <c r="BW781" s="20"/>
      <c r="BX781" s="20"/>
      <c r="BY781" s="20"/>
      <c r="BZ781" s="20"/>
      <c r="CA781" s="20"/>
      <c r="CB781" s="20"/>
      <c r="CC781" s="20"/>
      <c r="CD781" s="20"/>
      <c r="CE781" s="20"/>
      <c r="CF781" s="20"/>
      <c r="CG781" s="20"/>
      <c r="CH781" s="20"/>
      <c r="CI781" s="20"/>
      <c r="CJ781" s="20"/>
      <c r="CK781" s="20"/>
      <c r="CL781" s="20"/>
    </row>
    <row r="782" spans="1:90" ht="15" customHeight="1" x14ac:dyDescent="0.2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  <c r="AP782" s="20"/>
      <c r="AQ782" s="20"/>
      <c r="AR782" s="20"/>
      <c r="AS782" s="20"/>
      <c r="AT782" s="20"/>
      <c r="AU782" s="20"/>
      <c r="AV782" s="20"/>
      <c r="AW782" s="20"/>
      <c r="AX782" s="20"/>
      <c r="AY782" s="20"/>
      <c r="AZ782" s="20"/>
      <c r="BA782" s="20"/>
      <c r="BB782" s="20"/>
      <c r="BC782" s="20"/>
      <c r="BD782" s="20"/>
      <c r="BE782" s="20"/>
      <c r="BF782" s="20"/>
      <c r="BG782" s="20"/>
      <c r="BH782" s="20"/>
      <c r="BI782" s="20"/>
      <c r="BJ782" s="20"/>
      <c r="BK782" s="20"/>
      <c r="BL782" s="20"/>
      <c r="BM782" s="20"/>
      <c r="BN782" s="20"/>
      <c r="BO782" s="20"/>
      <c r="BP782" s="20"/>
      <c r="BQ782" s="20"/>
      <c r="BR782" s="20"/>
      <c r="BS782" s="20"/>
      <c r="BT782" s="20"/>
      <c r="BU782" s="20"/>
      <c r="BV782" s="20"/>
      <c r="BW782" s="20"/>
      <c r="BX782" s="20"/>
      <c r="BY782" s="20"/>
      <c r="BZ782" s="20"/>
      <c r="CA782" s="20"/>
      <c r="CB782" s="20"/>
      <c r="CC782" s="20"/>
      <c r="CD782" s="20"/>
      <c r="CE782" s="20"/>
      <c r="CF782" s="20"/>
      <c r="CG782" s="20"/>
      <c r="CH782" s="20"/>
      <c r="CI782" s="20"/>
      <c r="CJ782" s="20"/>
      <c r="CK782" s="20"/>
      <c r="CL782" s="20"/>
    </row>
    <row r="783" spans="1:90" ht="15" customHeight="1" x14ac:dyDescent="0.2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  <c r="AP783" s="20"/>
      <c r="AQ783" s="20"/>
      <c r="AR783" s="20"/>
      <c r="AS783" s="20"/>
      <c r="AT783" s="20"/>
      <c r="AU783" s="20"/>
      <c r="AV783" s="20"/>
      <c r="AW783" s="20"/>
      <c r="AX783" s="20"/>
      <c r="AY783" s="20"/>
      <c r="AZ783" s="20"/>
      <c r="BA783" s="20"/>
      <c r="BB783" s="20"/>
      <c r="BC783" s="20"/>
      <c r="BD783" s="20"/>
      <c r="BE783" s="20"/>
      <c r="BF783" s="20"/>
      <c r="BG783" s="20"/>
      <c r="BH783" s="20"/>
      <c r="BI783" s="20"/>
      <c r="BJ783" s="20"/>
      <c r="BK783" s="20"/>
      <c r="BL783" s="20"/>
      <c r="BM783" s="20"/>
      <c r="BN783" s="20"/>
      <c r="BO783" s="20"/>
      <c r="BP783" s="20"/>
      <c r="BQ783" s="20"/>
      <c r="BR783" s="20"/>
      <c r="BS783" s="20"/>
      <c r="BT783" s="20"/>
      <c r="BU783" s="20"/>
      <c r="BV783" s="20"/>
      <c r="BW783" s="20"/>
      <c r="BX783" s="20"/>
      <c r="BY783" s="20"/>
      <c r="BZ783" s="20"/>
      <c r="CA783" s="20"/>
      <c r="CB783" s="20"/>
      <c r="CC783" s="20"/>
      <c r="CD783" s="20"/>
      <c r="CE783" s="20"/>
      <c r="CF783" s="20"/>
      <c r="CG783" s="20"/>
      <c r="CH783" s="20"/>
      <c r="CI783" s="20"/>
      <c r="CJ783" s="20"/>
      <c r="CK783" s="20"/>
      <c r="CL783" s="20"/>
    </row>
    <row r="784" spans="1:90" ht="15" customHeight="1" x14ac:dyDescent="0.2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  <c r="AP784" s="20"/>
      <c r="AQ784" s="20"/>
      <c r="AR784" s="20"/>
      <c r="AS784" s="20"/>
      <c r="AT784" s="20"/>
      <c r="AU784" s="20"/>
      <c r="AV784" s="20"/>
      <c r="AW784" s="20"/>
      <c r="AX784" s="20"/>
      <c r="AY784" s="20"/>
      <c r="AZ784" s="20"/>
      <c r="BA784" s="20"/>
      <c r="BB784" s="20"/>
      <c r="BC784" s="20"/>
      <c r="BD784" s="20"/>
      <c r="BE784" s="20"/>
      <c r="BF784" s="20"/>
      <c r="BG784" s="20"/>
      <c r="BH784" s="20"/>
      <c r="BI784" s="20"/>
      <c r="BJ784" s="20"/>
      <c r="BK784" s="20"/>
      <c r="BL784" s="20"/>
      <c r="BM784" s="20"/>
      <c r="BN784" s="20"/>
      <c r="BO784" s="20"/>
      <c r="BP784" s="20"/>
      <c r="BQ784" s="20"/>
      <c r="BR784" s="20"/>
      <c r="BS784" s="20"/>
      <c r="BT784" s="20"/>
      <c r="BU784" s="20"/>
      <c r="BV784" s="20"/>
      <c r="BW784" s="20"/>
      <c r="BX784" s="20"/>
      <c r="BY784" s="20"/>
      <c r="BZ784" s="20"/>
      <c r="CA784" s="20"/>
      <c r="CB784" s="20"/>
      <c r="CC784" s="20"/>
      <c r="CD784" s="20"/>
      <c r="CE784" s="20"/>
      <c r="CF784" s="20"/>
      <c r="CG784" s="20"/>
      <c r="CH784" s="20"/>
      <c r="CI784" s="20"/>
      <c r="CJ784" s="20"/>
      <c r="CK784" s="20"/>
      <c r="CL784" s="20"/>
    </row>
    <row r="785" spans="1:90" ht="15" customHeight="1" x14ac:dyDescent="0.2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  <c r="AP785" s="20"/>
      <c r="AQ785" s="20"/>
      <c r="AR785" s="20"/>
      <c r="AS785" s="20"/>
      <c r="AT785" s="20"/>
      <c r="AU785" s="20"/>
      <c r="AV785" s="20"/>
      <c r="AW785" s="20"/>
      <c r="AX785" s="20"/>
      <c r="AY785" s="20"/>
      <c r="AZ785" s="20"/>
      <c r="BA785" s="20"/>
      <c r="BB785" s="20"/>
      <c r="BC785" s="20"/>
      <c r="BD785" s="20"/>
      <c r="BE785" s="20"/>
      <c r="BF785" s="20"/>
      <c r="BG785" s="20"/>
      <c r="BH785" s="20"/>
      <c r="BI785" s="20"/>
      <c r="BJ785" s="20"/>
      <c r="BK785" s="20"/>
      <c r="BL785" s="20"/>
      <c r="BM785" s="20"/>
      <c r="BN785" s="20"/>
      <c r="BO785" s="20"/>
      <c r="BP785" s="20"/>
      <c r="BQ785" s="20"/>
      <c r="BR785" s="20"/>
      <c r="BS785" s="20"/>
      <c r="BT785" s="20"/>
      <c r="BU785" s="20"/>
      <c r="BV785" s="20"/>
      <c r="BW785" s="20"/>
      <c r="BX785" s="20"/>
      <c r="BY785" s="20"/>
      <c r="BZ785" s="20"/>
      <c r="CA785" s="20"/>
      <c r="CB785" s="20"/>
      <c r="CC785" s="20"/>
      <c r="CD785" s="20"/>
      <c r="CE785" s="20"/>
      <c r="CF785" s="20"/>
      <c r="CG785" s="20"/>
      <c r="CH785" s="20"/>
      <c r="CI785" s="20"/>
      <c r="CJ785" s="20"/>
      <c r="CK785" s="20"/>
      <c r="CL785" s="20"/>
    </row>
    <row r="786" spans="1:90" ht="15" customHeight="1" x14ac:dyDescent="0.2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  <c r="AP786" s="20"/>
      <c r="AQ786" s="20"/>
      <c r="AR786" s="20"/>
      <c r="AS786" s="20"/>
      <c r="AT786" s="20"/>
      <c r="AU786" s="20"/>
      <c r="AV786" s="20"/>
      <c r="AW786" s="20"/>
      <c r="AX786" s="20"/>
      <c r="AY786" s="20"/>
      <c r="AZ786" s="20"/>
      <c r="BA786" s="20"/>
      <c r="BB786" s="20"/>
      <c r="BC786" s="20"/>
      <c r="BD786" s="20"/>
      <c r="BE786" s="20"/>
      <c r="BF786" s="20"/>
      <c r="BG786" s="20"/>
      <c r="BH786" s="20"/>
      <c r="BI786" s="20"/>
      <c r="BJ786" s="20"/>
      <c r="BK786" s="20"/>
      <c r="BL786" s="20"/>
      <c r="BM786" s="20"/>
      <c r="BN786" s="20"/>
      <c r="BO786" s="20"/>
      <c r="BP786" s="20"/>
      <c r="BQ786" s="20"/>
      <c r="BR786" s="20"/>
      <c r="BS786" s="20"/>
      <c r="BT786" s="20"/>
      <c r="BU786" s="20"/>
      <c r="BV786" s="20"/>
      <c r="BW786" s="20"/>
      <c r="BX786" s="20"/>
      <c r="BY786" s="20"/>
      <c r="BZ786" s="20"/>
      <c r="CA786" s="20"/>
      <c r="CB786" s="20"/>
      <c r="CC786" s="20"/>
      <c r="CD786" s="20"/>
      <c r="CE786" s="20"/>
      <c r="CF786" s="20"/>
      <c r="CG786" s="20"/>
      <c r="CH786" s="20"/>
      <c r="CI786" s="20"/>
      <c r="CJ786" s="20"/>
      <c r="CK786" s="20"/>
      <c r="CL786" s="20"/>
    </row>
    <row r="787" spans="1:90" ht="15" customHeight="1" x14ac:dyDescent="0.2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  <c r="AP787" s="20"/>
      <c r="AQ787" s="20"/>
      <c r="AR787" s="20"/>
      <c r="AS787" s="20"/>
      <c r="AT787" s="20"/>
      <c r="AU787" s="20"/>
      <c r="AV787" s="20"/>
      <c r="AW787" s="20"/>
      <c r="AX787" s="20"/>
      <c r="AY787" s="20"/>
      <c r="AZ787" s="20"/>
      <c r="BA787" s="20"/>
      <c r="BB787" s="20"/>
      <c r="BC787" s="20"/>
      <c r="BD787" s="20"/>
      <c r="BE787" s="20"/>
      <c r="BF787" s="20"/>
      <c r="BG787" s="20"/>
      <c r="BH787" s="20"/>
      <c r="BI787" s="20"/>
      <c r="BJ787" s="20"/>
      <c r="BK787" s="20"/>
      <c r="BL787" s="20"/>
      <c r="BM787" s="20"/>
      <c r="BN787" s="20"/>
      <c r="BO787" s="20"/>
      <c r="BP787" s="20"/>
      <c r="BQ787" s="20"/>
      <c r="BR787" s="20"/>
      <c r="BS787" s="20"/>
      <c r="BT787" s="20"/>
      <c r="BU787" s="20"/>
      <c r="BV787" s="20"/>
      <c r="BW787" s="20"/>
      <c r="BX787" s="20"/>
      <c r="BY787" s="20"/>
      <c r="BZ787" s="20"/>
      <c r="CA787" s="20"/>
      <c r="CB787" s="20"/>
      <c r="CC787" s="20"/>
      <c r="CD787" s="20"/>
      <c r="CE787" s="20"/>
      <c r="CF787" s="20"/>
      <c r="CG787" s="20"/>
      <c r="CH787" s="20"/>
      <c r="CI787" s="20"/>
      <c r="CJ787" s="20"/>
      <c r="CK787" s="20"/>
      <c r="CL787" s="20"/>
    </row>
    <row r="788" spans="1:90" ht="15" customHeight="1" x14ac:dyDescent="0.2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  <c r="AP788" s="20"/>
      <c r="AQ788" s="20"/>
      <c r="AR788" s="20"/>
      <c r="AS788" s="20"/>
      <c r="AT788" s="20"/>
      <c r="AU788" s="20"/>
      <c r="AV788" s="20"/>
      <c r="AW788" s="20"/>
      <c r="AX788" s="20"/>
      <c r="AY788" s="20"/>
      <c r="AZ788" s="20"/>
      <c r="BA788" s="20"/>
      <c r="BB788" s="20"/>
      <c r="BC788" s="20"/>
      <c r="BD788" s="20"/>
      <c r="BE788" s="20"/>
      <c r="BF788" s="20"/>
      <c r="BG788" s="20"/>
      <c r="BH788" s="20"/>
      <c r="BI788" s="20"/>
      <c r="BJ788" s="20"/>
      <c r="BK788" s="20"/>
      <c r="BL788" s="20"/>
      <c r="BM788" s="20"/>
      <c r="BN788" s="20"/>
      <c r="BO788" s="20"/>
      <c r="BP788" s="20"/>
      <c r="BQ788" s="20"/>
      <c r="BR788" s="20"/>
      <c r="BS788" s="20"/>
      <c r="BT788" s="20"/>
      <c r="BU788" s="20"/>
      <c r="BV788" s="20"/>
      <c r="BW788" s="20"/>
      <c r="BX788" s="20"/>
      <c r="BY788" s="20"/>
      <c r="BZ788" s="20"/>
      <c r="CA788" s="20"/>
      <c r="CB788" s="20"/>
      <c r="CC788" s="20"/>
      <c r="CD788" s="20"/>
      <c r="CE788" s="20"/>
      <c r="CF788" s="20"/>
      <c r="CG788" s="20"/>
      <c r="CH788" s="20"/>
      <c r="CI788" s="20"/>
      <c r="CJ788" s="20"/>
      <c r="CK788" s="20"/>
      <c r="CL788" s="20"/>
    </row>
    <row r="789" spans="1:90" ht="15" customHeight="1" x14ac:dyDescent="0.2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  <c r="AP789" s="20"/>
      <c r="AQ789" s="20"/>
      <c r="AR789" s="20"/>
      <c r="AS789" s="20"/>
      <c r="AT789" s="20"/>
      <c r="AU789" s="20"/>
      <c r="AV789" s="20"/>
      <c r="AW789" s="20"/>
      <c r="AX789" s="20"/>
      <c r="AY789" s="20"/>
      <c r="AZ789" s="20"/>
      <c r="BA789" s="20"/>
      <c r="BB789" s="20"/>
      <c r="BC789" s="20"/>
      <c r="BD789" s="20"/>
      <c r="BE789" s="20"/>
      <c r="BF789" s="20"/>
      <c r="BG789" s="20"/>
      <c r="BH789" s="20"/>
      <c r="BI789" s="20"/>
      <c r="BJ789" s="20"/>
      <c r="BK789" s="20"/>
      <c r="BL789" s="20"/>
      <c r="BM789" s="20"/>
      <c r="BN789" s="20"/>
      <c r="BO789" s="20"/>
      <c r="BP789" s="20"/>
      <c r="BQ789" s="20"/>
      <c r="BR789" s="20"/>
      <c r="BS789" s="20"/>
      <c r="BT789" s="20"/>
      <c r="BU789" s="20"/>
      <c r="BV789" s="20"/>
      <c r="BW789" s="20"/>
      <c r="BX789" s="20"/>
      <c r="BY789" s="20"/>
      <c r="BZ789" s="20"/>
      <c r="CA789" s="20"/>
      <c r="CB789" s="20"/>
      <c r="CC789" s="20"/>
      <c r="CD789" s="20"/>
      <c r="CE789" s="20"/>
      <c r="CF789" s="20"/>
      <c r="CG789" s="20"/>
      <c r="CH789" s="20"/>
      <c r="CI789" s="20"/>
      <c r="CJ789" s="20"/>
      <c r="CK789" s="20"/>
      <c r="CL789" s="20"/>
    </row>
    <row r="790" spans="1:90" ht="15" customHeight="1" x14ac:dyDescent="0.2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  <c r="AP790" s="20"/>
      <c r="AQ790" s="20"/>
      <c r="AR790" s="20"/>
      <c r="AS790" s="20"/>
      <c r="AT790" s="20"/>
      <c r="AU790" s="20"/>
      <c r="AV790" s="20"/>
      <c r="AW790" s="20"/>
      <c r="AX790" s="20"/>
      <c r="AY790" s="20"/>
      <c r="AZ790" s="20"/>
      <c r="BA790" s="20"/>
      <c r="BB790" s="20"/>
      <c r="BC790" s="20"/>
      <c r="BD790" s="20"/>
      <c r="BE790" s="20"/>
      <c r="BF790" s="20"/>
      <c r="BG790" s="20"/>
      <c r="BH790" s="20"/>
      <c r="BI790" s="20"/>
      <c r="BJ790" s="20"/>
      <c r="BK790" s="20"/>
      <c r="BL790" s="20"/>
      <c r="BM790" s="20"/>
      <c r="BN790" s="20"/>
      <c r="BO790" s="20"/>
      <c r="BP790" s="20"/>
      <c r="BQ790" s="20"/>
      <c r="BR790" s="20"/>
      <c r="BS790" s="20"/>
      <c r="BT790" s="20"/>
      <c r="BU790" s="20"/>
      <c r="BV790" s="20"/>
      <c r="BW790" s="20"/>
      <c r="BX790" s="20"/>
      <c r="BY790" s="20"/>
      <c r="BZ790" s="20"/>
      <c r="CA790" s="20"/>
      <c r="CB790" s="20"/>
      <c r="CC790" s="20"/>
      <c r="CD790" s="20"/>
      <c r="CE790" s="20"/>
      <c r="CF790" s="20"/>
      <c r="CG790" s="20"/>
      <c r="CH790" s="20"/>
      <c r="CI790" s="20"/>
      <c r="CJ790" s="20"/>
      <c r="CK790" s="20"/>
      <c r="CL790" s="20"/>
    </row>
    <row r="791" spans="1:90" ht="15" customHeight="1" x14ac:dyDescent="0.2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  <c r="AP791" s="20"/>
      <c r="AQ791" s="20"/>
      <c r="AR791" s="20"/>
      <c r="AS791" s="20"/>
      <c r="AT791" s="20"/>
      <c r="AU791" s="20"/>
      <c r="AV791" s="20"/>
      <c r="AW791" s="20"/>
      <c r="AX791" s="20"/>
      <c r="AY791" s="20"/>
      <c r="AZ791" s="20"/>
      <c r="BA791" s="20"/>
      <c r="BB791" s="20"/>
      <c r="BC791" s="20"/>
      <c r="BD791" s="20"/>
      <c r="BE791" s="20"/>
      <c r="BF791" s="20"/>
      <c r="BG791" s="20"/>
      <c r="BH791" s="20"/>
      <c r="BI791" s="20"/>
      <c r="BJ791" s="20"/>
      <c r="BK791" s="20"/>
      <c r="BL791" s="20"/>
      <c r="BM791" s="20"/>
      <c r="BN791" s="20"/>
      <c r="BO791" s="20"/>
      <c r="BP791" s="20"/>
      <c r="BQ791" s="20"/>
      <c r="BR791" s="20"/>
      <c r="BS791" s="20"/>
      <c r="BT791" s="20"/>
      <c r="BU791" s="20"/>
      <c r="BV791" s="20"/>
      <c r="BW791" s="20"/>
      <c r="BX791" s="20"/>
      <c r="BY791" s="20"/>
      <c r="BZ791" s="20"/>
      <c r="CA791" s="20"/>
      <c r="CB791" s="20"/>
      <c r="CC791" s="20"/>
      <c r="CD791" s="20"/>
      <c r="CE791" s="20"/>
      <c r="CF791" s="20"/>
      <c r="CG791" s="20"/>
      <c r="CH791" s="20"/>
      <c r="CI791" s="20"/>
      <c r="CJ791" s="20"/>
      <c r="CK791" s="20"/>
      <c r="CL791" s="20"/>
    </row>
  </sheetData>
  <mergeCells count="2">
    <mergeCell ref="A1:CL2"/>
    <mergeCell ref="B3:CG3"/>
  </mergeCells>
  <phoneticPr fontId="8" type="noConversion"/>
  <pageMargins left="0.7" right="0.7" top="0.75" bottom="0.75" header="0.3" footer="0.3"/>
  <pageSetup paperSize="9" scale="5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9"/>
  <sheetViews>
    <sheetView workbookViewId="0">
      <selection activeCell="A34" sqref="A34"/>
    </sheetView>
  </sheetViews>
  <sheetFormatPr defaultRowHeight="12.75" x14ac:dyDescent="0.2"/>
  <sheetData>
    <row r="1" spans="1:1" ht="18.95" customHeight="1" x14ac:dyDescent="0.25">
      <c r="A1" s="103">
        <v>130</v>
      </c>
    </row>
    <row r="2" spans="1:1" ht="18.95" customHeight="1" x14ac:dyDescent="0.25">
      <c r="A2" s="103">
        <v>137</v>
      </c>
    </row>
    <row r="3" spans="1:1" ht="18.95" customHeight="1" x14ac:dyDescent="0.25">
      <c r="A3" s="103">
        <v>251</v>
      </c>
    </row>
    <row r="4" spans="1:1" ht="18.95" customHeight="1" x14ac:dyDescent="0.25">
      <c r="A4" s="103">
        <v>263</v>
      </c>
    </row>
    <row r="5" spans="1:1" ht="18.95" customHeight="1" x14ac:dyDescent="0.25">
      <c r="A5" s="103">
        <v>266</v>
      </c>
    </row>
    <row r="6" spans="1:1" ht="18.95" customHeight="1" x14ac:dyDescent="0.25">
      <c r="A6" s="103">
        <v>297</v>
      </c>
    </row>
    <row r="7" spans="1:1" ht="18.95" customHeight="1" x14ac:dyDescent="0.25">
      <c r="A7" s="103">
        <v>406</v>
      </c>
    </row>
    <row r="8" spans="1:1" ht="18.95" customHeight="1" x14ac:dyDescent="0.25">
      <c r="A8" s="103">
        <v>427</v>
      </c>
    </row>
    <row r="9" spans="1:1" ht="18.95" customHeight="1" x14ac:dyDescent="0.25">
      <c r="A9" s="103">
        <v>459</v>
      </c>
    </row>
    <row r="10" spans="1:1" ht="18.95" customHeight="1" x14ac:dyDescent="0.25">
      <c r="A10" s="103">
        <v>465</v>
      </c>
    </row>
    <row r="11" spans="1:1" ht="18.95" customHeight="1" x14ac:dyDescent="0.25">
      <c r="A11" s="103">
        <v>577</v>
      </c>
    </row>
    <row r="12" spans="1:1" ht="18.95" customHeight="1" x14ac:dyDescent="0.25">
      <c r="A12" s="103">
        <v>578</v>
      </c>
    </row>
    <row r="13" spans="1:1" ht="18.95" customHeight="1" x14ac:dyDescent="0.25">
      <c r="A13" s="103">
        <v>582</v>
      </c>
    </row>
    <row r="14" spans="1:1" ht="18.95" customHeight="1" x14ac:dyDescent="0.25">
      <c r="A14" s="103">
        <v>584</v>
      </c>
    </row>
    <row r="15" spans="1:1" ht="18.95" customHeight="1" x14ac:dyDescent="0.25">
      <c r="A15" s="103">
        <v>585</v>
      </c>
    </row>
    <row r="16" spans="1:1" ht="18.95" customHeight="1" x14ac:dyDescent="0.25">
      <c r="A16" s="103">
        <v>592</v>
      </c>
    </row>
    <row r="17" spans="1:1" ht="18.95" customHeight="1" x14ac:dyDescent="0.25">
      <c r="A17" s="103">
        <v>593</v>
      </c>
    </row>
    <row r="18" spans="1:1" ht="18.95" customHeight="1" x14ac:dyDescent="0.25">
      <c r="A18" s="103">
        <v>594</v>
      </c>
    </row>
    <row r="19" spans="1:1" ht="18.95" customHeight="1" x14ac:dyDescent="0.25">
      <c r="A19" s="103">
        <v>596</v>
      </c>
    </row>
    <row r="20" spans="1:1" ht="18.95" customHeight="1" x14ac:dyDescent="0.25">
      <c r="A20" s="103">
        <v>601</v>
      </c>
    </row>
    <row r="21" spans="1:1" ht="18.95" customHeight="1" x14ac:dyDescent="0.25">
      <c r="A21" s="103">
        <v>611</v>
      </c>
    </row>
    <row r="22" spans="1:1" ht="18.95" customHeight="1" x14ac:dyDescent="0.25">
      <c r="A22" s="103">
        <v>612</v>
      </c>
    </row>
    <row r="23" spans="1:1" ht="18.95" customHeight="1" x14ac:dyDescent="0.25">
      <c r="A23" s="103">
        <v>613</v>
      </c>
    </row>
    <row r="24" spans="1:1" ht="18.95" customHeight="1" x14ac:dyDescent="0.25">
      <c r="A24" s="103">
        <v>614</v>
      </c>
    </row>
    <row r="25" spans="1:1" ht="18.95" customHeight="1" x14ac:dyDescent="0.25">
      <c r="A25" s="103">
        <v>628</v>
      </c>
    </row>
    <row r="26" spans="1:1" ht="18.95" customHeight="1" x14ac:dyDescent="0.25">
      <c r="A26" s="103">
        <v>649</v>
      </c>
    </row>
    <row r="27" spans="1:1" ht="18.95" customHeight="1" x14ac:dyDescent="0.25">
      <c r="A27" s="103">
        <v>651</v>
      </c>
    </row>
    <row r="28" spans="1:1" ht="18.95" customHeight="1" x14ac:dyDescent="0.25">
      <c r="A28" s="103">
        <v>789</v>
      </c>
    </row>
    <row r="29" spans="1:1" ht="18.95" customHeight="1" x14ac:dyDescent="0.25">
      <c r="A29" s="103">
        <v>1153</v>
      </c>
    </row>
    <row r="30" spans="1:1" ht="18.95" customHeight="1" x14ac:dyDescent="0.25">
      <c r="A30" s="103">
        <v>1155</v>
      </c>
    </row>
    <row r="31" spans="1:1" ht="18.95" customHeight="1" x14ac:dyDescent="0.25">
      <c r="A31" s="103">
        <v>1155</v>
      </c>
    </row>
    <row r="32" spans="1:1" ht="18.95" customHeight="1" x14ac:dyDescent="0.25">
      <c r="A32" s="103">
        <v>1158</v>
      </c>
    </row>
    <row r="33" spans="1:1" ht="18.95" customHeight="1" x14ac:dyDescent="0.25">
      <c r="A33" s="103">
        <v>1172</v>
      </c>
    </row>
    <row r="34" spans="1:1" ht="18.95" customHeight="1" x14ac:dyDescent="0.25">
      <c r="A34" s="103">
        <v>1176</v>
      </c>
    </row>
    <row r="35" spans="1:1" ht="18.95" customHeight="1" x14ac:dyDescent="0.25">
      <c r="A35" s="103">
        <v>1186</v>
      </c>
    </row>
    <row r="36" spans="1:1" ht="18.95" customHeight="1" x14ac:dyDescent="0.2"/>
    <row r="37" spans="1:1" ht="18.95" customHeight="1" x14ac:dyDescent="0.2"/>
    <row r="38" spans="1:1" ht="18.95" customHeight="1" x14ac:dyDescent="0.2"/>
    <row r="39" spans="1:1" ht="18.95" customHeight="1" x14ac:dyDescent="0.2"/>
    <row r="40" spans="1:1" ht="18.95" customHeight="1" x14ac:dyDescent="0.2"/>
    <row r="41" spans="1:1" ht="18.95" customHeight="1" x14ac:dyDescent="0.2"/>
    <row r="42" spans="1:1" ht="18.95" customHeight="1" x14ac:dyDescent="0.2"/>
    <row r="43" spans="1:1" ht="18.95" customHeight="1" x14ac:dyDescent="0.2"/>
    <row r="44" spans="1:1" ht="18.95" customHeight="1" x14ac:dyDescent="0.2"/>
    <row r="45" spans="1:1" ht="18.95" customHeight="1" x14ac:dyDescent="0.2"/>
    <row r="46" spans="1:1" ht="18.95" customHeight="1" x14ac:dyDescent="0.2"/>
    <row r="47" spans="1:1" ht="18.95" customHeight="1" x14ac:dyDescent="0.2"/>
    <row r="48" spans="1:1" ht="18.95" customHeight="1" x14ac:dyDescent="0.2"/>
    <row r="49" ht="18.95" customHeight="1" x14ac:dyDescent="0.2"/>
    <row r="50" ht="18.95" customHeight="1" x14ac:dyDescent="0.2"/>
    <row r="51" ht="18.95" customHeight="1" x14ac:dyDescent="0.2"/>
    <row r="52" ht="18.95" customHeight="1" x14ac:dyDescent="0.2"/>
    <row r="53" ht="18.95" customHeight="1" x14ac:dyDescent="0.2"/>
    <row r="54" ht="18.95" customHeight="1" x14ac:dyDescent="0.2"/>
    <row r="55" ht="18.95" customHeight="1" x14ac:dyDescent="0.2"/>
    <row r="56" ht="18.95" customHeight="1" x14ac:dyDescent="0.2"/>
    <row r="57" ht="18.95" customHeight="1" x14ac:dyDescent="0.2"/>
    <row r="58" ht="18.95" customHeight="1" x14ac:dyDescent="0.2"/>
    <row r="59" ht="18.95" customHeight="1" x14ac:dyDescent="0.2"/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내역서총괄표</vt:lpstr>
      <vt:lpstr>내역서</vt:lpstr>
      <vt:lpstr>수량산출</vt:lpstr>
      <vt:lpstr>Sheet1</vt:lpstr>
      <vt:lpstr>내역서!Print_Area</vt:lpstr>
      <vt:lpstr>내역서총괄표!Print_Area</vt:lpstr>
      <vt:lpstr>수량산출!Print_Area</vt:lpstr>
      <vt:lpstr>내역서!Print_Titles</vt:lpstr>
      <vt:lpstr>내역서총괄표!Print_Titles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이재영</dc:creator>
  <cp:lastModifiedBy>user</cp:lastModifiedBy>
  <cp:lastPrinted>2022-01-13T08:43:58Z</cp:lastPrinted>
  <dcterms:created xsi:type="dcterms:W3CDTF">2019-05-17T02:17:26Z</dcterms:created>
  <dcterms:modified xsi:type="dcterms:W3CDTF">2022-01-24T04:03:33Z</dcterms:modified>
</cp:coreProperties>
</file>